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</definedNames>
  <calcPr fullCalcOnLoad="1"/>
</workbook>
</file>

<file path=xl/sharedStrings.xml><?xml version="1.0" encoding="utf-8"?>
<sst xmlns="http://schemas.openxmlformats.org/spreadsheetml/2006/main" count="118" uniqueCount="114">
  <si>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</si>
  <si>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</si>
  <si>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</si>
  <si>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</si>
  <si>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</si>
  <si>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</si>
  <si>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</si>
  <si>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</si>
  <si>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</si>
  <si>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</si>
  <si>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</si>
  <si>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</si>
  <si>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</si>
  <si>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</si>
  <si>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</si>
  <si>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</si>
  <si>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</si>
  <si>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</si>
  <si>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</si>
  <si>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</si>
  <si>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</si>
  <si>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</si>
  <si>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</si>
  <si>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</si>
  <si>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</si>
  <si>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</si>
  <si>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</si>
  <si>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</si>
  <si>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</si>
  <si>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</si>
  <si>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</si>
  <si>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</si>
  <si>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</si>
  <si>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</si>
  <si>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</si>
  <si>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</si>
  <si>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</si>
  <si>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</si>
  <si>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</si>
  <si>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</si>
  <si>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</si>
  <si>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</si>
  <si>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</si>
  <si>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</si>
  <si>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</si>
  <si>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</si>
  <si>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</si>
  <si>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</si>
  <si>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</si>
  <si>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</si>
  <si>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</si>
  <si>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</si>
  <si>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</si>
  <si>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</si>
  <si>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</si>
  <si>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</si>
  <si>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</si>
  <si>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</si>
  <si>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</si>
  <si>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</si>
  <si>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</si>
  <si>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</si>
  <si>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</si>
  <si>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</si>
  <si>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</si>
  <si>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</si>
  <si>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</si>
  <si>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</si>
  <si>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</si>
  <si>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</si>
  <si>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</si>
  <si>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</si>
  <si>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</si>
  <si>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</si>
  <si>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</si>
  <si>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</si>
  <si>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</si>
  <si>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zkoušky zvláštní odborné způsobilosti</t>
  </si>
  <si>
    <t>doplatky místních poplatků</t>
  </si>
  <si>
    <t>vratky ostat.účel.prostř. MF ČR-kap.VPS</t>
  </si>
  <si>
    <t>vratky účel prostř.ost.rezotr.min./st.fondům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</si>
  <si>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</si>
  <si>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</si>
  <si>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</si>
  <si>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</si>
  <si>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</si>
  <si>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</si>
  <si>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</si>
  <si>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</si>
  <si>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</si>
  <si>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sociálně-právní ochrana dětí  ÚZ 13011</t>
  </si>
  <si>
    <t>výkon pěstounské péče  ÚZ 13010</t>
  </si>
  <si>
    <t xml:space="preserve">vratka nedočerp.dotace poskytnuté městskou částí hl.m. Praze ÚZ 79                                                                                                                                                   </t>
  </si>
  <si>
    <t>ostatní doplatky</t>
  </si>
  <si>
    <t>ostatní vratky</t>
  </si>
  <si>
    <t>participativní rozpočty - neinvestiční výdaje</t>
  </si>
  <si>
    <t>participativní rozpočty - investiční výdaje</t>
  </si>
  <si>
    <t>ZA ROK 2018 S MČ HL. M. PRAHY</t>
  </si>
  <si>
    <t>volba prezidenta  ÚZ 98008</t>
  </si>
  <si>
    <t xml:space="preserve">volby do ZHMP, ZMČ a 1/3 Senátu PČR  ÚZ 98187 </t>
  </si>
  <si>
    <t>volby do ZHMP, ZMČ a 1/3 Senáru PČR ÚZ 98187</t>
  </si>
  <si>
    <t xml:space="preserve">         vratky účel. prostř. r. 2018-investiční</t>
  </si>
  <si>
    <t xml:space="preserve">         vratky účel. prostř. r. 2018- neinvestiční</t>
  </si>
  <si>
    <r>
      <t xml:space="preserve">vratky účel. prostř.r.2017 </t>
    </r>
    <r>
      <rPr>
        <sz val="8"/>
        <rFont val="Arial CE"/>
        <family val="0"/>
      </rPr>
      <t>(popř.předchozích let)-neinvestiční</t>
    </r>
  </si>
  <si>
    <t>vratky účel.prostř. r. 2016 a 2017, u nichž je vyúčtování stanoveno na r. 2018 (granty)</t>
  </si>
  <si>
    <t>1.</t>
  </si>
  <si>
    <t>2.</t>
  </si>
  <si>
    <t>Úhrn potřeb (ř.4 a ř.5)</t>
  </si>
  <si>
    <t>Úhrn zdrojů fin. vypořádání   (ř.1 a ř.2)</t>
  </si>
  <si>
    <t>Saldo FV (ř.3 - ř.6)</t>
  </si>
  <si>
    <t>Saldo státních prostředků (ř.1 - ř.4)</t>
  </si>
  <si>
    <t>Saldo prostředků MHMP (ř. 2 - ř.5)</t>
  </si>
  <si>
    <r>
      <t xml:space="preserve">vratky účel. prostř.r.2017 </t>
    </r>
    <r>
      <rPr>
        <sz val="8"/>
        <rFont val="Arial CE"/>
        <family val="0"/>
      </rPr>
      <t>(popř.předchozích let)-investiční</t>
    </r>
  </si>
  <si>
    <t xml:space="preserve">Příloha č. 8 k usnesení Zastupitelstva HMP č. 8/52 ze dne 20. 6. 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</si>
</sst>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left" wrapText="1" indent="3"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14" xfId="0" applyNumberFormat="1" applyFont="1" applyBorder="1" applyAlignment="1">
      <alignment wrapText="1"/>
    </xf>
    <xf numFmtId="0" fontId="0" fillId="2" borderId="20" xfId="0" applyFill="1" applyBorder="1" applyAlignment="1">
      <alignment/>
    </xf>
    <xf numFmtId="49" fontId="0" fillId="2" borderId="14" xfId="0" applyNumberForma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14" xfId="0" applyNumberFormat="1" applyFill="1" applyBorder="1" applyAlignment="1">
      <alignment horizontal="left" wrapText="1" indent="3"/>
    </xf>
    <xf numFmtId="4" fontId="1" fillId="2" borderId="14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"/>
    </sheetView>
  </sheetViews>
  <sheetFormatPr defaultColWidth="9.00390625" defaultRowHeight="12.75"/>
  <cols>
    <col min="1" max="1" width="4.00390625" style="0" customWidth="1"/>
    <col min="2" max="2" width="44.875" style="97" customWidth="1"/>
    <col min="3" max="3" width="17.12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9" width="14.375" style="3" customWidth="1"/>
    <col min="10" max="10" width="13.375" style="3" bestFit="1" customWidth="1"/>
    <col min="11" max="11" width="15.125" style="3" customWidth="1"/>
    <col min="12" max="12" width="14.00390625" style="3" customWidth="1"/>
    <col min="13" max="13" width="13.375" style="3" customWidth="1"/>
    <col min="14" max="14" width="14.375" style="3" customWidth="1"/>
    <col min="15" max="15" width="14.875" style="3" customWidth="1"/>
    <col min="16" max="16" width="15.375" style="3" customWidth="1"/>
    <col min="17" max="17" width="14.00390625" style="3" bestFit="1" customWidth="1"/>
    <col min="18" max="18" width="15.375" style="3" customWidth="1"/>
    <col min="19" max="20" width="14.875" style="3" customWidth="1"/>
    <col min="21" max="21" width="12.875" style="3" customWidth="1"/>
    <col min="22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1.125" style="3" customWidth="1"/>
    <col min="28" max="28" width="13.625" style="3" customWidth="1"/>
    <col min="29" max="29" width="14.875" style="3" customWidth="1"/>
    <col min="30" max="30" width="14.125" style="3" customWidth="1"/>
    <col min="31" max="31" width="13.75390625" style="3" customWidth="1"/>
    <col min="32" max="33" width="14.125" style="3" customWidth="1"/>
    <col min="34" max="34" width="14.25390625" style="3" customWidth="1"/>
    <col min="35" max="35" width="13.875" style="3" customWidth="1"/>
    <col min="36" max="36" width="14.625" style="3" customWidth="1"/>
    <col min="37" max="37" width="13.75390625" style="3" customWidth="1"/>
    <col min="38" max="38" width="12.87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4.00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4" width="19.25390625" style="0" customWidth="1"/>
    <col min="65" max="65" width="10.75390625" style="0" customWidth="1"/>
  </cols>
  <sheetData>
    <row r="1" spans="1:5" ht="12.75">
      <c r="A1" s="61"/>
      <c r="B1" s="61" t="s">
        <v>113</v>
      </c>
      <c r="D1" s="110"/>
      <c r="E1" s="111"/>
    </row>
    <row r="3" spans="2:60" ht="12.75">
      <c r="B3" s="68" t="s">
        <v>70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69" t="s">
        <v>97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69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69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70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5" t="s">
        <v>0</v>
      </c>
      <c r="B8" s="71" t="s">
        <v>1</v>
      </c>
      <c r="C8" s="6" t="s">
        <v>71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6">
        <v>34</v>
      </c>
      <c r="AL8" s="6">
        <v>35</v>
      </c>
      <c r="AM8" s="6">
        <v>36</v>
      </c>
      <c r="AN8" s="6">
        <v>37</v>
      </c>
      <c r="AO8" s="6">
        <v>38</v>
      </c>
      <c r="AP8" s="6">
        <v>39</v>
      </c>
      <c r="AQ8" s="6">
        <v>40</v>
      </c>
      <c r="AR8" s="6">
        <v>41</v>
      </c>
      <c r="AS8" s="6">
        <v>42</v>
      </c>
      <c r="AT8" s="6">
        <v>43</v>
      </c>
      <c r="AU8" s="6">
        <v>44</v>
      </c>
      <c r="AV8" s="6">
        <v>45</v>
      </c>
      <c r="AW8" s="7">
        <v>46</v>
      </c>
      <c r="AX8" s="6">
        <v>47</v>
      </c>
      <c r="AY8" s="6">
        <v>48</v>
      </c>
      <c r="AZ8" s="6">
        <v>49</v>
      </c>
      <c r="BA8" s="6">
        <v>50</v>
      </c>
      <c r="BB8" s="6">
        <v>51</v>
      </c>
      <c r="BC8" s="6">
        <v>52</v>
      </c>
      <c r="BD8" s="6">
        <v>53</v>
      </c>
      <c r="BE8" s="6">
        <v>54</v>
      </c>
      <c r="BF8" s="6">
        <v>55</v>
      </c>
      <c r="BG8" s="6">
        <v>56</v>
      </c>
      <c r="BH8" s="6">
        <v>57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ht="13.5" thickBot="1">
      <c r="A9" s="9" t="s">
        <v>2</v>
      </c>
      <c r="B9" s="72"/>
      <c r="C9" s="10" t="s">
        <v>72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19</v>
      </c>
      <c r="U9" s="10" t="s">
        <v>20</v>
      </c>
      <c r="V9" s="10" t="s">
        <v>21</v>
      </c>
      <c r="W9" s="10" t="s">
        <v>22</v>
      </c>
      <c r="X9" s="10" t="s">
        <v>23</v>
      </c>
      <c r="Y9" s="10" t="s">
        <v>24</v>
      </c>
      <c r="Z9" s="10" t="s">
        <v>25</v>
      </c>
      <c r="AA9" s="10" t="s">
        <v>26</v>
      </c>
      <c r="AB9" s="10" t="s">
        <v>27</v>
      </c>
      <c r="AC9" s="10" t="s">
        <v>28</v>
      </c>
      <c r="AD9" s="10" t="s">
        <v>29</v>
      </c>
      <c r="AE9" s="10" t="s">
        <v>30</v>
      </c>
      <c r="AF9" s="10" t="s">
        <v>31</v>
      </c>
      <c r="AG9" s="10" t="s">
        <v>32</v>
      </c>
      <c r="AH9" s="10" t="s">
        <v>33</v>
      </c>
      <c r="AI9" s="10" t="s">
        <v>34</v>
      </c>
      <c r="AJ9" s="10" t="s">
        <v>35</v>
      </c>
      <c r="AK9" s="10" t="s">
        <v>36</v>
      </c>
      <c r="AL9" s="10" t="s">
        <v>37</v>
      </c>
      <c r="AM9" s="10" t="s">
        <v>38</v>
      </c>
      <c r="AN9" s="10" t="s">
        <v>39</v>
      </c>
      <c r="AO9" s="10" t="s">
        <v>40</v>
      </c>
      <c r="AP9" s="10" t="s">
        <v>41</v>
      </c>
      <c r="AQ9" s="10" t="s">
        <v>42</v>
      </c>
      <c r="AR9" s="10" t="s">
        <v>43</v>
      </c>
      <c r="AS9" s="10" t="s">
        <v>44</v>
      </c>
      <c r="AT9" s="10" t="s">
        <v>45</v>
      </c>
      <c r="AU9" s="10" t="s">
        <v>46</v>
      </c>
      <c r="AV9" s="10" t="s">
        <v>47</v>
      </c>
      <c r="AW9" s="11" t="s">
        <v>48</v>
      </c>
      <c r="AX9" s="10" t="s">
        <v>49</v>
      </c>
      <c r="AY9" s="10" t="s">
        <v>50</v>
      </c>
      <c r="AZ9" s="10" t="s">
        <v>51</v>
      </c>
      <c r="BA9" s="10" t="s">
        <v>52</v>
      </c>
      <c r="BB9" s="10" t="s">
        <v>53</v>
      </c>
      <c r="BC9" s="10" t="s">
        <v>54</v>
      </c>
      <c r="BD9" s="10" t="s">
        <v>55</v>
      </c>
      <c r="BE9" s="10" t="s">
        <v>56</v>
      </c>
      <c r="BF9" s="10" t="s">
        <v>57</v>
      </c>
      <c r="BG9" s="10" t="s">
        <v>58</v>
      </c>
      <c r="BH9" s="10" t="s">
        <v>59</v>
      </c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60" ht="13.5" thickTop="1">
      <c r="A10" s="12"/>
      <c r="B10" s="7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2.75">
      <c r="A11" s="20"/>
      <c r="B11" s="74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2.75">
      <c r="A12" s="20"/>
      <c r="B12" s="75" t="s">
        <v>60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>
      <c r="A13" s="15"/>
      <c r="B13" s="7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7" s="25" customFormat="1" ht="12.75">
      <c r="A14" s="23" t="s">
        <v>105</v>
      </c>
      <c r="B14" s="75" t="s">
        <v>81</v>
      </c>
      <c r="C14" s="16">
        <f>SUM(D14:BH14)</f>
        <v>10152915.910000002</v>
      </c>
      <c r="D14" s="24">
        <f aca="true" t="shared" si="0" ref="D14:AI14">SUM(D15:D17)</f>
        <v>0</v>
      </c>
      <c r="E14" s="24">
        <f t="shared" si="0"/>
        <v>0</v>
      </c>
      <c r="F14" s="24">
        <f t="shared" si="0"/>
        <v>2696616.0700000003</v>
      </c>
      <c r="G14" s="24">
        <f t="shared" si="0"/>
        <v>616868.36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2555867.7199999997</v>
      </c>
      <c r="M14" s="24">
        <f t="shared" si="0"/>
        <v>700153.09</v>
      </c>
      <c r="N14" s="24">
        <f t="shared" si="0"/>
        <v>8009</v>
      </c>
      <c r="O14" s="24">
        <f t="shared" si="0"/>
        <v>354200.83</v>
      </c>
      <c r="P14" s="24">
        <f t="shared" si="0"/>
        <v>639745.8</v>
      </c>
      <c r="Q14" s="24">
        <f t="shared" si="0"/>
        <v>1081628.03</v>
      </c>
      <c r="R14" s="24">
        <f t="shared" si="0"/>
        <v>314080.47</v>
      </c>
      <c r="S14" s="24">
        <f t="shared" si="0"/>
        <v>129905.20999999999</v>
      </c>
      <c r="T14" s="24">
        <f t="shared" si="0"/>
        <v>239330.71</v>
      </c>
      <c r="U14" s="24">
        <f t="shared" si="0"/>
        <v>56656</v>
      </c>
      <c r="V14" s="24">
        <f t="shared" si="0"/>
        <v>169636.66999999998</v>
      </c>
      <c r="W14" s="24">
        <f t="shared" si="0"/>
        <v>241919</v>
      </c>
      <c r="X14" s="24">
        <f t="shared" si="0"/>
        <v>0</v>
      </c>
      <c r="Y14" s="24">
        <f t="shared" si="0"/>
        <v>0</v>
      </c>
      <c r="Z14" s="24">
        <f t="shared" si="0"/>
        <v>16489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8807.5</v>
      </c>
      <c r="AF14" s="24">
        <f t="shared" si="0"/>
        <v>0</v>
      </c>
      <c r="AG14" s="24">
        <f t="shared" si="0"/>
        <v>0</v>
      </c>
      <c r="AH14" s="24">
        <f t="shared" si="0"/>
        <v>31190</v>
      </c>
      <c r="AI14" s="24">
        <f t="shared" si="0"/>
        <v>0</v>
      </c>
      <c r="AJ14" s="24">
        <f aca="true" t="shared" si="1" ref="AJ14:BH14">SUM(AJ15:AJ17)</f>
        <v>4533</v>
      </c>
      <c r="AK14" s="24">
        <f t="shared" si="1"/>
        <v>0</v>
      </c>
      <c r="AL14" s="24">
        <f t="shared" si="1"/>
        <v>538</v>
      </c>
      <c r="AM14" s="24">
        <f t="shared" si="1"/>
        <v>0</v>
      </c>
      <c r="AN14" s="24">
        <f t="shared" si="1"/>
        <v>0</v>
      </c>
      <c r="AO14" s="24">
        <f t="shared" si="1"/>
        <v>0</v>
      </c>
      <c r="AP14" s="24">
        <f t="shared" si="1"/>
        <v>0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119754.76999999999</v>
      </c>
      <c r="AV14" s="24">
        <f t="shared" si="1"/>
        <v>0</v>
      </c>
      <c r="AW14" s="24">
        <f t="shared" si="1"/>
        <v>0</v>
      </c>
      <c r="AX14" s="24">
        <f t="shared" si="1"/>
        <v>11497</v>
      </c>
      <c r="AY14" s="24">
        <f t="shared" si="1"/>
        <v>0</v>
      </c>
      <c r="AZ14" s="24">
        <f t="shared" si="1"/>
        <v>11791.4</v>
      </c>
      <c r="BA14" s="24">
        <f t="shared" si="1"/>
        <v>0</v>
      </c>
      <c r="BB14" s="24">
        <f t="shared" si="1"/>
        <v>0</v>
      </c>
      <c r="BC14" s="24">
        <f t="shared" si="1"/>
        <v>0</v>
      </c>
      <c r="BD14" s="24">
        <f t="shared" si="1"/>
        <v>56990.5</v>
      </c>
      <c r="BE14" s="24">
        <f t="shared" si="1"/>
        <v>0</v>
      </c>
      <c r="BF14" s="24">
        <f t="shared" si="1"/>
        <v>29308.5</v>
      </c>
      <c r="BG14" s="24">
        <f t="shared" si="1"/>
        <v>0</v>
      </c>
      <c r="BH14" s="24">
        <f t="shared" si="1"/>
        <v>57399.28</v>
      </c>
      <c r="BI14" s="59"/>
      <c r="BJ14" s="60"/>
      <c r="BK14" s="60"/>
      <c r="BL14" s="60"/>
      <c r="BM14" s="60"/>
      <c r="BN14" s="60"/>
      <c r="BO14" s="60"/>
    </row>
    <row r="15" spans="1:63" ht="12.75">
      <c r="A15" s="26"/>
      <c r="B15" s="77" t="s">
        <v>88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K15" s="60"/>
    </row>
    <row r="16" spans="1:63" ht="12.75">
      <c r="A16" s="27"/>
      <c r="B16" s="67" t="s">
        <v>98</v>
      </c>
      <c r="C16" s="16">
        <f>SUM(D16:BH16)</f>
        <v>4488167.42</v>
      </c>
      <c r="D16" s="22"/>
      <c r="E16" s="22"/>
      <c r="F16" s="22">
        <v>1324419.26</v>
      </c>
      <c r="G16" s="22">
        <v>373586.7</v>
      </c>
      <c r="H16" s="22"/>
      <c r="I16" s="22"/>
      <c r="J16" s="22"/>
      <c r="K16" s="22"/>
      <c r="L16" s="22">
        <v>949712.59</v>
      </c>
      <c r="M16" s="22"/>
      <c r="N16" s="22"/>
      <c r="O16" s="22">
        <v>251787.51</v>
      </c>
      <c r="P16" s="22">
        <v>400663.8</v>
      </c>
      <c r="Q16" s="22">
        <v>496760.95</v>
      </c>
      <c r="R16" s="22">
        <v>155433.78</v>
      </c>
      <c r="S16" s="22">
        <v>48793.82</v>
      </c>
      <c r="T16" s="22">
        <v>76275.63</v>
      </c>
      <c r="U16" s="22"/>
      <c r="V16" s="22">
        <v>78720.67</v>
      </c>
      <c r="W16" s="22">
        <v>171259</v>
      </c>
      <c r="X16" s="22"/>
      <c r="Y16" s="22"/>
      <c r="Z16" s="22">
        <v>1722</v>
      </c>
      <c r="AA16" s="22"/>
      <c r="AB16" s="22"/>
      <c r="AC16" s="22"/>
      <c r="AD16" s="22"/>
      <c r="AE16" s="22">
        <v>8807.5</v>
      </c>
      <c r="AF16" s="22"/>
      <c r="AG16" s="22"/>
      <c r="AH16" s="22">
        <v>821</v>
      </c>
      <c r="AI16" s="22"/>
      <c r="AJ16" s="22">
        <v>4533</v>
      </c>
      <c r="AK16" s="22"/>
      <c r="AL16" s="22">
        <v>538</v>
      </c>
      <c r="AM16" s="22"/>
      <c r="AN16" s="22"/>
      <c r="AO16" s="22"/>
      <c r="AP16" s="22"/>
      <c r="AQ16" s="22"/>
      <c r="AR16" s="22"/>
      <c r="AS16" s="22"/>
      <c r="AT16" s="22"/>
      <c r="AU16" s="22">
        <v>56342.2</v>
      </c>
      <c r="AV16" s="22"/>
      <c r="AW16" s="22"/>
      <c r="AX16" s="22"/>
      <c r="AY16" s="22"/>
      <c r="AZ16" s="22">
        <v>11791.4</v>
      </c>
      <c r="BA16" s="22"/>
      <c r="BB16" s="22"/>
      <c r="BC16" s="22"/>
      <c r="BD16" s="22">
        <v>55674.4</v>
      </c>
      <c r="BE16" s="22"/>
      <c r="BF16" s="22">
        <v>9008</v>
      </c>
      <c r="BG16" s="22"/>
      <c r="BH16" s="22">
        <v>11516.21</v>
      </c>
      <c r="BK16" s="60"/>
    </row>
    <row r="17" spans="1:63" ht="12.75">
      <c r="A17" s="27"/>
      <c r="B17" s="67" t="s">
        <v>99</v>
      </c>
      <c r="C17" s="16">
        <f>SUM(D17:BH17)</f>
        <v>5664748.49</v>
      </c>
      <c r="D17" s="22"/>
      <c r="E17" s="22"/>
      <c r="F17" s="22">
        <v>1372196.81</v>
      </c>
      <c r="G17" s="22">
        <v>243281.66</v>
      </c>
      <c r="H17" s="22"/>
      <c r="I17" s="22"/>
      <c r="J17" s="22"/>
      <c r="K17" s="22"/>
      <c r="L17" s="22">
        <v>1606155.13</v>
      </c>
      <c r="M17" s="22">
        <v>700153.09</v>
      </c>
      <c r="N17" s="22">
        <v>8009</v>
      </c>
      <c r="O17" s="22">
        <v>102413.32</v>
      </c>
      <c r="P17" s="22">
        <v>239082</v>
      </c>
      <c r="Q17" s="22">
        <v>584867.08</v>
      </c>
      <c r="R17" s="22">
        <v>158646.69</v>
      </c>
      <c r="S17" s="22">
        <v>81111.39</v>
      </c>
      <c r="T17" s="22">
        <v>163055.08</v>
      </c>
      <c r="U17" s="22">
        <v>56656</v>
      </c>
      <c r="V17" s="22">
        <v>90916</v>
      </c>
      <c r="W17" s="22">
        <v>70660</v>
      </c>
      <c r="X17" s="22"/>
      <c r="Y17" s="22"/>
      <c r="Z17" s="22">
        <v>14767</v>
      </c>
      <c r="AA17" s="22"/>
      <c r="AB17" s="22"/>
      <c r="AC17" s="22"/>
      <c r="AD17" s="22"/>
      <c r="AE17" s="22"/>
      <c r="AF17" s="22"/>
      <c r="AG17" s="22"/>
      <c r="AH17" s="22">
        <v>30369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63412.57</v>
      </c>
      <c r="AV17" s="22"/>
      <c r="AW17" s="22"/>
      <c r="AX17" s="22">
        <v>11497</v>
      </c>
      <c r="AY17" s="22"/>
      <c r="AZ17" s="22"/>
      <c r="BA17" s="22"/>
      <c r="BB17" s="22"/>
      <c r="BC17" s="22"/>
      <c r="BD17" s="22">
        <v>1316.1</v>
      </c>
      <c r="BE17" s="22"/>
      <c r="BF17" s="22">
        <v>20300.5</v>
      </c>
      <c r="BG17" s="22"/>
      <c r="BH17" s="22">
        <v>45883.07</v>
      </c>
      <c r="BK17" s="60"/>
    </row>
    <row r="18" spans="1:63" ht="12.75">
      <c r="A18" s="27"/>
      <c r="B18" s="78"/>
      <c r="C18" s="1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60"/>
    </row>
    <row r="19" spans="1:63" s="25" customFormat="1" ht="12.75">
      <c r="A19" s="28" t="s">
        <v>106</v>
      </c>
      <c r="B19" s="79" t="s">
        <v>63</v>
      </c>
      <c r="C19" s="16">
        <f>SUM(D19:BH19)</f>
        <v>10532275.21</v>
      </c>
      <c r="D19" s="21">
        <f aca="true" t="shared" si="2" ref="D19:AI19">SUM(D21:D26)</f>
        <v>0</v>
      </c>
      <c r="E19" s="21">
        <f t="shared" si="2"/>
        <v>0</v>
      </c>
      <c r="F19" s="21">
        <f t="shared" si="2"/>
        <v>417284.84</v>
      </c>
      <c r="G19" s="21">
        <f t="shared" si="2"/>
        <v>200</v>
      </c>
      <c r="H19" s="21">
        <f t="shared" si="2"/>
        <v>699578.73</v>
      </c>
      <c r="I19" s="21">
        <f t="shared" si="2"/>
        <v>250486.43</v>
      </c>
      <c r="J19" s="21">
        <f t="shared" si="2"/>
        <v>0</v>
      </c>
      <c r="K19" s="21">
        <f t="shared" si="2"/>
        <v>5000000</v>
      </c>
      <c r="L19" s="21">
        <f t="shared" si="2"/>
        <v>0</v>
      </c>
      <c r="M19" s="21">
        <f t="shared" si="2"/>
        <v>1319544.65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1">
        <f t="shared" si="2"/>
        <v>1093481.41</v>
      </c>
      <c r="R19" s="21">
        <f t="shared" si="2"/>
        <v>64704</v>
      </c>
      <c r="S19" s="21">
        <f t="shared" si="2"/>
        <v>0</v>
      </c>
      <c r="T19" s="21">
        <f t="shared" si="2"/>
        <v>0</v>
      </c>
      <c r="U19" s="21">
        <f t="shared" si="2"/>
        <v>0</v>
      </c>
      <c r="V19" s="21">
        <f t="shared" si="2"/>
        <v>0</v>
      </c>
      <c r="W19" s="21">
        <f t="shared" si="2"/>
        <v>432300.74</v>
      </c>
      <c r="X19" s="21">
        <f t="shared" si="2"/>
        <v>0</v>
      </c>
      <c r="Y19" s="21">
        <f t="shared" si="2"/>
        <v>0</v>
      </c>
      <c r="Z19" s="21">
        <f t="shared" si="2"/>
        <v>0</v>
      </c>
      <c r="AA19" s="21">
        <f t="shared" si="2"/>
        <v>0</v>
      </c>
      <c r="AB19" s="21">
        <f t="shared" si="2"/>
        <v>0</v>
      </c>
      <c r="AC19" s="21">
        <f t="shared" si="2"/>
        <v>0</v>
      </c>
      <c r="AD19" s="21">
        <f t="shared" si="2"/>
        <v>680</v>
      </c>
      <c r="AE19" s="21">
        <f t="shared" si="2"/>
        <v>0</v>
      </c>
      <c r="AF19" s="21">
        <f t="shared" si="2"/>
        <v>0</v>
      </c>
      <c r="AG19" s="21">
        <f t="shared" si="2"/>
        <v>48</v>
      </c>
      <c r="AH19" s="21">
        <f t="shared" si="2"/>
        <v>0</v>
      </c>
      <c r="AI19" s="21">
        <f t="shared" si="2"/>
        <v>0</v>
      </c>
      <c r="AJ19" s="21">
        <f aca="true" t="shared" si="3" ref="AJ19:BH19">SUM(AJ21:AJ26)</f>
        <v>0</v>
      </c>
      <c r="AK19" s="21">
        <f t="shared" si="3"/>
        <v>250000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2120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10060</v>
      </c>
      <c r="AX19" s="21">
        <f t="shared" si="3"/>
        <v>0</v>
      </c>
      <c r="AY19" s="21">
        <f t="shared" si="3"/>
        <v>344400.92</v>
      </c>
      <c r="AZ19" s="21">
        <f t="shared" si="3"/>
        <v>223694.4</v>
      </c>
      <c r="BA19" s="21">
        <f t="shared" si="3"/>
        <v>161.25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423529.83999999997</v>
      </c>
      <c r="BH19" s="21">
        <f t="shared" si="3"/>
        <v>0</v>
      </c>
      <c r="BK19" s="60"/>
    </row>
    <row r="20" spans="1:63" s="25" customFormat="1" ht="12.75">
      <c r="A20" s="28"/>
      <c r="B20" s="80" t="s">
        <v>88</v>
      </c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K20" s="60"/>
    </row>
    <row r="21" spans="1:63" ht="12.75">
      <c r="A21" s="27"/>
      <c r="B21" s="81" t="s">
        <v>89</v>
      </c>
      <c r="C21" s="29">
        <f aca="true" t="shared" si="4" ref="C21:C26">SUM(D21:BH21)</f>
        <v>1169.25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960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>
        <v>48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>
        <v>161.25</v>
      </c>
      <c r="BB21" s="22"/>
      <c r="BC21" s="22"/>
      <c r="BD21" s="22"/>
      <c r="BE21" s="22"/>
      <c r="BF21" s="22"/>
      <c r="BG21" s="22"/>
      <c r="BH21" s="22"/>
      <c r="BK21" s="60"/>
    </row>
    <row r="22" spans="1:63" s="32" customFormat="1" ht="12.75">
      <c r="A22" s="30"/>
      <c r="B22" s="82" t="s">
        <v>77</v>
      </c>
      <c r="C22" s="29">
        <f t="shared" si="4"/>
        <v>77764</v>
      </c>
      <c r="D22" s="31"/>
      <c r="E22" s="31"/>
      <c r="F22" s="31"/>
      <c r="G22" s="31">
        <v>200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v>64704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>
        <v>680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v>2120</v>
      </c>
      <c r="AP22" s="31"/>
      <c r="AQ22" s="31"/>
      <c r="AR22" s="31"/>
      <c r="AS22" s="31"/>
      <c r="AT22" s="31"/>
      <c r="AU22" s="31"/>
      <c r="AV22" s="31"/>
      <c r="AW22" s="31">
        <v>10060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K22" s="60"/>
    </row>
    <row r="23" spans="1:120" s="32" customFormat="1" ht="24">
      <c r="A23" s="30"/>
      <c r="B23" s="83" t="s">
        <v>92</v>
      </c>
      <c r="C23" s="58">
        <f t="shared" si="4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57"/>
      <c r="BJ23" s="57"/>
      <c r="BK23" s="60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32" customFormat="1" ht="12.75">
      <c r="A24" s="30"/>
      <c r="B24" s="84" t="s">
        <v>95</v>
      </c>
      <c r="C24" s="58">
        <f t="shared" si="4"/>
        <v>1686941.51</v>
      </c>
      <c r="D24" s="31"/>
      <c r="E24" s="31"/>
      <c r="F24" s="31">
        <v>417284.84</v>
      </c>
      <c r="G24" s="31"/>
      <c r="H24" s="31">
        <v>236977.58</v>
      </c>
      <c r="I24" s="31"/>
      <c r="J24" s="31"/>
      <c r="K24" s="31"/>
      <c r="L24" s="31"/>
      <c r="M24" s="31">
        <v>500859</v>
      </c>
      <c r="N24" s="31"/>
      <c r="O24" s="31"/>
      <c r="P24" s="31"/>
      <c r="Q24" s="31">
        <v>260377.95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>
        <v>192870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>
        <v>4018.8</v>
      </c>
      <c r="BA24" s="31"/>
      <c r="BB24" s="31"/>
      <c r="BC24" s="31"/>
      <c r="BD24" s="31"/>
      <c r="BE24" s="31"/>
      <c r="BF24" s="31"/>
      <c r="BG24" s="31">
        <v>74553.34</v>
      </c>
      <c r="BH24" s="31"/>
      <c r="BI24" s="57"/>
      <c r="BJ24" s="57"/>
      <c r="BK24" s="60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s="32" customFormat="1" ht="12.75">
      <c r="A25" s="30"/>
      <c r="B25" s="84" t="s">
        <v>96</v>
      </c>
      <c r="C25" s="58">
        <f t="shared" si="4"/>
        <v>8764800.450000001</v>
      </c>
      <c r="D25" s="31"/>
      <c r="E25" s="31"/>
      <c r="F25" s="31"/>
      <c r="G25" s="31"/>
      <c r="H25" s="31">
        <v>462601.15</v>
      </c>
      <c r="I25" s="31">
        <v>250486.43</v>
      </c>
      <c r="J25" s="31"/>
      <c r="K25" s="31">
        <v>5000000</v>
      </c>
      <c r="L25" s="31"/>
      <c r="M25" s="31">
        <v>818685.65</v>
      </c>
      <c r="N25" s="31"/>
      <c r="O25" s="31"/>
      <c r="P25" s="31"/>
      <c r="Q25" s="31">
        <v>833103.46</v>
      </c>
      <c r="R25" s="31"/>
      <c r="S25" s="31"/>
      <c r="T25" s="31"/>
      <c r="U25" s="31"/>
      <c r="V25" s="31"/>
      <c r="W25" s="31">
        <v>429740.74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>
        <v>57130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>
        <v>344400.92</v>
      </c>
      <c r="AZ25" s="31">
        <v>219675.6</v>
      </c>
      <c r="BA25" s="31"/>
      <c r="BB25" s="31"/>
      <c r="BC25" s="31"/>
      <c r="BD25" s="31"/>
      <c r="BE25" s="31"/>
      <c r="BF25" s="31"/>
      <c r="BG25" s="31">
        <v>348976.5</v>
      </c>
      <c r="BH25" s="31"/>
      <c r="BI25" s="57"/>
      <c r="BJ25" s="57"/>
      <c r="BK25" s="60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120" s="32" customFormat="1" ht="12.75">
      <c r="A26" s="30"/>
      <c r="B26" s="84" t="s">
        <v>93</v>
      </c>
      <c r="C26" s="58">
        <f t="shared" si="4"/>
        <v>1600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>
        <v>1600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57"/>
      <c r="BJ26" s="57"/>
      <c r="BK26" s="60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</row>
    <row r="27" spans="1:63" ht="13.5" thickBot="1">
      <c r="A27" s="18"/>
      <c r="B27" s="85"/>
      <c r="C27" s="1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K27" s="60"/>
    </row>
    <row r="28" spans="1:63" s="35" customFormat="1" ht="14.25" thickBot="1" thickTop="1">
      <c r="A28" s="33" t="s">
        <v>61</v>
      </c>
      <c r="B28" s="86" t="s">
        <v>108</v>
      </c>
      <c r="C28" s="34">
        <f>SUM(D28:BH28)</f>
        <v>20685191.120000005</v>
      </c>
      <c r="D28" s="34">
        <f aca="true" t="shared" si="5" ref="D28:AI28">SUM(D14,D19)</f>
        <v>0</v>
      </c>
      <c r="E28" s="34">
        <f t="shared" si="5"/>
        <v>0</v>
      </c>
      <c r="F28" s="34">
        <f t="shared" si="5"/>
        <v>3113900.91</v>
      </c>
      <c r="G28" s="34">
        <f t="shared" si="5"/>
        <v>617068.36</v>
      </c>
      <c r="H28" s="34">
        <f t="shared" si="5"/>
        <v>699578.73</v>
      </c>
      <c r="I28" s="34">
        <f t="shared" si="5"/>
        <v>250486.43</v>
      </c>
      <c r="J28" s="34">
        <f t="shared" si="5"/>
        <v>0</v>
      </c>
      <c r="K28" s="34">
        <f t="shared" si="5"/>
        <v>5000000</v>
      </c>
      <c r="L28" s="34">
        <f t="shared" si="5"/>
        <v>2555867.7199999997</v>
      </c>
      <c r="M28" s="34">
        <f t="shared" si="5"/>
        <v>2019697.7399999998</v>
      </c>
      <c r="N28" s="34">
        <f t="shared" si="5"/>
        <v>8009</v>
      </c>
      <c r="O28" s="34">
        <f t="shared" si="5"/>
        <v>354200.83</v>
      </c>
      <c r="P28" s="34">
        <f t="shared" si="5"/>
        <v>639745.8</v>
      </c>
      <c r="Q28" s="34">
        <f t="shared" si="5"/>
        <v>2175109.44</v>
      </c>
      <c r="R28" s="34">
        <f t="shared" si="5"/>
        <v>378784.47</v>
      </c>
      <c r="S28" s="34">
        <f t="shared" si="5"/>
        <v>129905.20999999999</v>
      </c>
      <c r="T28" s="34">
        <f t="shared" si="5"/>
        <v>239330.71</v>
      </c>
      <c r="U28" s="34">
        <f t="shared" si="5"/>
        <v>56656</v>
      </c>
      <c r="V28" s="34">
        <f t="shared" si="5"/>
        <v>169636.66999999998</v>
      </c>
      <c r="W28" s="34">
        <f t="shared" si="5"/>
        <v>674219.74</v>
      </c>
      <c r="X28" s="34">
        <f t="shared" si="5"/>
        <v>0</v>
      </c>
      <c r="Y28" s="34">
        <f t="shared" si="5"/>
        <v>0</v>
      </c>
      <c r="Z28" s="34">
        <f t="shared" si="5"/>
        <v>16489</v>
      </c>
      <c r="AA28" s="34">
        <f t="shared" si="5"/>
        <v>0</v>
      </c>
      <c r="AB28" s="34">
        <f t="shared" si="5"/>
        <v>0</v>
      </c>
      <c r="AC28" s="34">
        <f t="shared" si="5"/>
        <v>0</v>
      </c>
      <c r="AD28" s="34">
        <f t="shared" si="5"/>
        <v>680</v>
      </c>
      <c r="AE28" s="34">
        <f t="shared" si="5"/>
        <v>8807.5</v>
      </c>
      <c r="AF28" s="34">
        <f t="shared" si="5"/>
        <v>0</v>
      </c>
      <c r="AG28" s="34">
        <f t="shared" si="5"/>
        <v>48</v>
      </c>
      <c r="AH28" s="34">
        <f t="shared" si="5"/>
        <v>31190</v>
      </c>
      <c r="AI28" s="34">
        <f t="shared" si="5"/>
        <v>0</v>
      </c>
      <c r="AJ28" s="34">
        <f aca="true" t="shared" si="6" ref="AJ28:BH28">SUM(AJ14,AJ19)</f>
        <v>4533</v>
      </c>
      <c r="AK28" s="34">
        <f t="shared" si="6"/>
        <v>250000</v>
      </c>
      <c r="AL28" s="34">
        <f t="shared" si="6"/>
        <v>538</v>
      </c>
      <c r="AM28" s="34">
        <f t="shared" si="6"/>
        <v>0</v>
      </c>
      <c r="AN28" s="34">
        <f t="shared" si="6"/>
        <v>0</v>
      </c>
      <c r="AO28" s="34">
        <f t="shared" si="6"/>
        <v>2120</v>
      </c>
      <c r="AP28" s="34">
        <f t="shared" si="6"/>
        <v>0</v>
      </c>
      <c r="AQ28" s="34">
        <f t="shared" si="6"/>
        <v>0</v>
      </c>
      <c r="AR28" s="34">
        <f t="shared" si="6"/>
        <v>0</v>
      </c>
      <c r="AS28" s="34">
        <f t="shared" si="6"/>
        <v>0</v>
      </c>
      <c r="AT28" s="34">
        <f t="shared" si="6"/>
        <v>0</v>
      </c>
      <c r="AU28" s="34">
        <f t="shared" si="6"/>
        <v>119754.76999999999</v>
      </c>
      <c r="AV28" s="34">
        <f t="shared" si="6"/>
        <v>0</v>
      </c>
      <c r="AW28" s="34">
        <f t="shared" si="6"/>
        <v>10060</v>
      </c>
      <c r="AX28" s="34">
        <f t="shared" si="6"/>
        <v>11497</v>
      </c>
      <c r="AY28" s="34">
        <f t="shared" si="6"/>
        <v>344400.92</v>
      </c>
      <c r="AZ28" s="34">
        <f t="shared" si="6"/>
        <v>235485.8</v>
      </c>
      <c r="BA28" s="34">
        <f t="shared" si="6"/>
        <v>161.25</v>
      </c>
      <c r="BB28" s="34">
        <f t="shared" si="6"/>
        <v>0</v>
      </c>
      <c r="BC28" s="34">
        <f t="shared" si="6"/>
        <v>0</v>
      </c>
      <c r="BD28" s="34">
        <f t="shared" si="6"/>
        <v>56990.5</v>
      </c>
      <c r="BE28" s="34">
        <f t="shared" si="6"/>
        <v>0</v>
      </c>
      <c r="BF28" s="34">
        <f t="shared" si="6"/>
        <v>29308.5</v>
      </c>
      <c r="BG28" s="34">
        <f t="shared" si="6"/>
        <v>423529.83999999997</v>
      </c>
      <c r="BH28" s="34">
        <f t="shared" si="6"/>
        <v>57399.28</v>
      </c>
      <c r="BK28" s="60"/>
    </row>
    <row r="29" spans="1:63" s="38" customFormat="1" ht="13.5" thickTop="1">
      <c r="A29" s="36"/>
      <c r="B29" s="87"/>
      <c r="C29" s="24"/>
      <c r="D29" s="37"/>
      <c r="E29" s="5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K29" s="60"/>
    </row>
    <row r="30" spans="1:63" ht="12.75">
      <c r="A30" s="39"/>
      <c r="B30" s="88" t="s">
        <v>65</v>
      </c>
      <c r="C30" s="16"/>
      <c r="D30" s="40"/>
      <c r="E30" s="1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K30" s="60"/>
    </row>
    <row r="31" spans="1:63" ht="12.75">
      <c r="A31" s="39"/>
      <c r="B31" s="76"/>
      <c r="C31" s="16"/>
      <c r="D31" s="40"/>
      <c r="E31" s="1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K31" s="60"/>
    </row>
    <row r="32" spans="1:63" s="25" customFormat="1" ht="12.75">
      <c r="A32" s="41" t="s">
        <v>62</v>
      </c>
      <c r="B32" s="88" t="s">
        <v>67</v>
      </c>
      <c r="C32" s="16">
        <f aca="true" t="shared" si="7" ref="C32:C39">SUM(D32:BH32)</f>
        <v>7396722.669999999</v>
      </c>
      <c r="D32" s="42">
        <f aca="true" t="shared" si="8" ref="D32:AI32">SUM(D33:D39)</f>
        <v>0</v>
      </c>
      <c r="E32" s="42">
        <f t="shared" si="8"/>
        <v>4758.23</v>
      </c>
      <c r="F32" s="42">
        <f t="shared" si="8"/>
        <v>3357</v>
      </c>
      <c r="G32" s="42">
        <f t="shared" si="8"/>
        <v>1266271</v>
      </c>
      <c r="H32" s="42">
        <f t="shared" si="8"/>
        <v>155431.3</v>
      </c>
      <c r="I32" s="42">
        <f t="shared" si="8"/>
        <v>1484803.15</v>
      </c>
      <c r="J32" s="42">
        <f t="shared" si="8"/>
        <v>291205.68</v>
      </c>
      <c r="K32" s="42">
        <f t="shared" si="8"/>
        <v>807281.57</v>
      </c>
      <c r="L32" s="42">
        <f t="shared" si="8"/>
        <v>193267.45</v>
      </c>
      <c r="M32" s="42">
        <f t="shared" si="8"/>
        <v>598263.19</v>
      </c>
      <c r="N32" s="42">
        <f t="shared" si="8"/>
        <v>276512.64</v>
      </c>
      <c r="O32" s="42">
        <f t="shared" si="8"/>
        <v>13058.8</v>
      </c>
      <c r="P32" s="42">
        <f t="shared" si="8"/>
        <v>593717.1</v>
      </c>
      <c r="Q32" s="42">
        <f t="shared" si="8"/>
        <v>70331</v>
      </c>
      <c r="R32" s="42">
        <f t="shared" si="8"/>
        <v>0</v>
      </c>
      <c r="S32" s="42">
        <f t="shared" si="8"/>
        <v>79691.05</v>
      </c>
      <c r="T32" s="42">
        <f t="shared" si="8"/>
        <v>48498</v>
      </c>
      <c r="U32" s="42">
        <f t="shared" si="8"/>
        <v>0</v>
      </c>
      <c r="V32" s="42">
        <f t="shared" si="8"/>
        <v>0</v>
      </c>
      <c r="W32" s="42">
        <f t="shared" si="8"/>
        <v>0</v>
      </c>
      <c r="X32" s="42">
        <f t="shared" si="8"/>
        <v>73664.37</v>
      </c>
      <c r="Y32" s="42">
        <f t="shared" si="8"/>
        <v>70975.73999999999</v>
      </c>
      <c r="Z32" s="42">
        <f t="shared" si="8"/>
        <v>0</v>
      </c>
      <c r="AA32" s="42">
        <f t="shared" si="8"/>
        <v>10187</v>
      </c>
      <c r="AB32" s="42">
        <f t="shared" si="8"/>
        <v>0</v>
      </c>
      <c r="AC32" s="42">
        <f t="shared" si="8"/>
        <v>0</v>
      </c>
      <c r="AD32" s="42">
        <f t="shared" si="8"/>
        <v>3476.82</v>
      </c>
      <c r="AE32" s="42">
        <f t="shared" si="8"/>
        <v>0</v>
      </c>
      <c r="AF32" s="42">
        <f t="shared" si="8"/>
        <v>0</v>
      </c>
      <c r="AG32" s="42">
        <f t="shared" si="8"/>
        <v>7437</v>
      </c>
      <c r="AH32" s="42">
        <f t="shared" si="8"/>
        <v>0</v>
      </c>
      <c r="AI32" s="42">
        <f t="shared" si="8"/>
        <v>0</v>
      </c>
      <c r="AJ32" s="42">
        <f aca="true" t="shared" si="9" ref="AJ32:BH32">SUM(AJ33:AJ39)</f>
        <v>2258</v>
      </c>
      <c r="AK32" s="42">
        <f t="shared" si="9"/>
        <v>0</v>
      </c>
      <c r="AL32" s="42">
        <f t="shared" si="9"/>
        <v>728</v>
      </c>
      <c r="AM32" s="42">
        <f t="shared" si="9"/>
        <v>0</v>
      </c>
      <c r="AN32" s="42">
        <f t="shared" si="9"/>
        <v>91618.02</v>
      </c>
      <c r="AO32" s="42">
        <f t="shared" si="9"/>
        <v>790586.21</v>
      </c>
      <c r="AP32" s="42">
        <f t="shared" si="9"/>
        <v>11467</v>
      </c>
      <c r="AQ32" s="42">
        <f t="shared" si="9"/>
        <v>3208.05</v>
      </c>
      <c r="AR32" s="42">
        <f t="shared" si="9"/>
        <v>7368</v>
      </c>
      <c r="AS32" s="42">
        <f t="shared" si="9"/>
        <v>28557.42</v>
      </c>
      <c r="AT32" s="42">
        <f t="shared" si="9"/>
        <v>26688</v>
      </c>
      <c r="AU32" s="42">
        <f t="shared" si="9"/>
        <v>0</v>
      </c>
      <c r="AV32" s="42">
        <f t="shared" si="9"/>
        <v>20142</v>
      </c>
      <c r="AW32" s="42">
        <f t="shared" si="9"/>
        <v>28790.42</v>
      </c>
      <c r="AX32" s="42">
        <f t="shared" si="9"/>
        <v>0</v>
      </c>
      <c r="AY32" s="42">
        <f t="shared" si="9"/>
        <v>25222</v>
      </c>
      <c r="AZ32" s="42">
        <f t="shared" si="9"/>
        <v>82.94</v>
      </c>
      <c r="BA32" s="42">
        <f t="shared" si="9"/>
        <v>37639.32</v>
      </c>
      <c r="BB32" s="42">
        <f t="shared" si="9"/>
        <v>4086</v>
      </c>
      <c r="BC32" s="42">
        <f t="shared" si="9"/>
        <v>21505.1</v>
      </c>
      <c r="BD32" s="42">
        <f t="shared" si="9"/>
        <v>33</v>
      </c>
      <c r="BE32" s="42">
        <f t="shared" si="9"/>
        <v>95168.85</v>
      </c>
      <c r="BF32" s="42">
        <f t="shared" si="9"/>
        <v>0</v>
      </c>
      <c r="BG32" s="42">
        <f t="shared" si="9"/>
        <v>149386.25</v>
      </c>
      <c r="BH32" s="42">
        <f t="shared" si="9"/>
        <v>0</v>
      </c>
      <c r="BK32" s="60"/>
    </row>
    <row r="33" spans="1:63" ht="12.75">
      <c r="A33" s="39"/>
      <c r="B33" s="77" t="s">
        <v>88</v>
      </c>
      <c r="C33" s="16"/>
      <c r="D33" s="40"/>
      <c r="E33" s="17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K33" s="60"/>
    </row>
    <row r="34" spans="1:63" ht="12.75">
      <c r="A34" s="39"/>
      <c r="B34" s="82" t="s">
        <v>90</v>
      </c>
      <c r="C34" s="16">
        <f t="shared" si="7"/>
        <v>1721887.15</v>
      </c>
      <c r="D34" s="40"/>
      <c r="E34" s="17">
        <v>41</v>
      </c>
      <c r="F34" s="40">
        <v>3357</v>
      </c>
      <c r="G34" s="40"/>
      <c r="H34" s="40">
        <v>809.3</v>
      </c>
      <c r="I34" s="40">
        <v>620854.02</v>
      </c>
      <c r="J34" s="40"/>
      <c r="K34" s="40"/>
      <c r="L34" s="40">
        <v>98807.45</v>
      </c>
      <c r="M34" s="40">
        <v>352766.92</v>
      </c>
      <c r="N34" s="40">
        <v>37767.26</v>
      </c>
      <c r="O34" s="40"/>
      <c r="P34" s="40">
        <v>576217.1</v>
      </c>
      <c r="Q34" s="40"/>
      <c r="R34" s="40"/>
      <c r="S34" s="40"/>
      <c r="T34" s="40"/>
      <c r="U34" s="40"/>
      <c r="V34" s="40"/>
      <c r="W34" s="40"/>
      <c r="X34" s="40">
        <v>314</v>
      </c>
      <c r="Y34" s="40">
        <v>30953.1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60"/>
    </row>
    <row r="35" spans="1:63" ht="12.75">
      <c r="A35" s="39"/>
      <c r="B35" s="89" t="s">
        <v>79</v>
      </c>
      <c r="C35" s="16">
        <f t="shared" si="7"/>
        <v>0</v>
      </c>
      <c r="D35" s="40"/>
      <c r="E35" s="17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K35" s="60"/>
    </row>
    <row r="36" spans="1:63" s="46" customFormat="1" ht="12.75">
      <c r="A36" s="43"/>
      <c r="B36" s="67" t="s">
        <v>98</v>
      </c>
      <c r="C36" s="44">
        <f t="shared" si="7"/>
        <v>2187014.71</v>
      </c>
      <c r="D36" s="45"/>
      <c r="E36" s="56">
        <v>4716.23</v>
      </c>
      <c r="F36" s="45"/>
      <c r="G36" s="45"/>
      <c r="H36" s="45">
        <v>42313</v>
      </c>
      <c r="I36" s="45">
        <v>826815.13</v>
      </c>
      <c r="J36" s="45">
        <v>104240.74</v>
      </c>
      <c r="K36" s="45">
        <v>324841.36</v>
      </c>
      <c r="L36" s="45"/>
      <c r="M36" s="45">
        <v>245496.27</v>
      </c>
      <c r="N36" s="45">
        <v>238745.38</v>
      </c>
      <c r="O36" s="45"/>
      <c r="P36" s="45"/>
      <c r="Q36" s="45"/>
      <c r="R36" s="45"/>
      <c r="S36" s="45"/>
      <c r="T36" s="45"/>
      <c r="U36" s="45"/>
      <c r="V36" s="45"/>
      <c r="W36" s="45"/>
      <c r="X36" s="45">
        <v>72429.37</v>
      </c>
      <c r="Y36" s="45">
        <v>33682.52</v>
      </c>
      <c r="Z36" s="45"/>
      <c r="AA36" s="45">
        <v>10187</v>
      </c>
      <c r="AB36" s="45"/>
      <c r="AC36" s="45"/>
      <c r="AD36" s="45">
        <v>3476.82</v>
      </c>
      <c r="AE36" s="45"/>
      <c r="AF36" s="45"/>
      <c r="AG36" s="45">
        <v>4851</v>
      </c>
      <c r="AH36" s="45"/>
      <c r="AI36" s="45"/>
      <c r="AJ36" s="45"/>
      <c r="AK36" s="45"/>
      <c r="AL36" s="45"/>
      <c r="AM36" s="45"/>
      <c r="AN36" s="45">
        <v>41564.26</v>
      </c>
      <c r="AO36" s="45">
        <v>23.71</v>
      </c>
      <c r="AP36" s="45"/>
      <c r="AQ36" s="45"/>
      <c r="AR36" s="45"/>
      <c r="AS36" s="45">
        <v>22990.21</v>
      </c>
      <c r="AT36" s="45">
        <v>11980</v>
      </c>
      <c r="AU36" s="45"/>
      <c r="AV36" s="45">
        <v>11796</v>
      </c>
      <c r="AW36" s="45">
        <v>28224.17</v>
      </c>
      <c r="AX36" s="45"/>
      <c r="AY36" s="45">
        <v>16322</v>
      </c>
      <c r="AZ36" s="45"/>
      <c r="BA36" s="45">
        <v>11658.74</v>
      </c>
      <c r="BB36" s="45">
        <v>3970</v>
      </c>
      <c r="BC36" s="45">
        <v>15331.5</v>
      </c>
      <c r="BD36" s="45"/>
      <c r="BE36" s="45">
        <v>40281.95</v>
      </c>
      <c r="BF36" s="45"/>
      <c r="BG36" s="45">
        <v>71077.35</v>
      </c>
      <c r="BH36" s="45"/>
      <c r="BK36" s="60"/>
    </row>
    <row r="37" spans="1:63" s="46" customFormat="1" ht="12.75">
      <c r="A37" s="43"/>
      <c r="B37" s="67" t="s">
        <v>100</v>
      </c>
      <c r="C37" s="44">
        <f t="shared" si="7"/>
        <v>649801.39</v>
      </c>
      <c r="D37" s="45"/>
      <c r="E37" s="56">
        <v>1</v>
      </c>
      <c r="F37" s="45"/>
      <c r="G37" s="45"/>
      <c r="H37" s="45">
        <v>20701</v>
      </c>
      <c r="I37" s="45">
        <v>19798</v>
      </c>
      <c r="J37" s="45">
        <v>25417.84</v>
      </c>
      <c r="K37" s="45">
        <v>301650.24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>
        <v>921</v>
      </c>
      <c r="Y37" s="45">
        <v>7.12</v>
      </c>
      <c r="Z37" s="45"/>
      <c r="AA37" s="45"/>
      <c r="AB37" s="45"/>
      <c r="AC37" s="45"/>
      <c r="AD37" s="45"/>
      <c r="AE37" s="45"/>
      <c r="AF37" s="45"/>
      <c r="AG37" s="45">
        <v>2586</v>
      </c>
      <c r="AH37" s="45"/>
      <c r="AI37" s="45"/>
      <c r="AJ37" s="45">
        <v>2258</v>
      </c>
      <c r="AK37" s="45"/>
      <c r="AL37" s="45">
        <v>728</v>
      </c>
      <c r="AM37" s="45"/>
      <c r="AN37" s="45">
        <v>50053.76</v>
      </c>
      <c r="AO37" s="45"/>
      <c r="AP37" s="45">
        <v>11467</v>
      </c>
      <c r="AQ37" s="45">
        <v>3208.05</v>
      </c>
      <c r="AR37" s="45">
        <v>7368</v>
      </c>
      <c r="AS37" s="45">
        <v>5567.21</v>
      </c>
      <c r="AT37" s="45">
        <v>14708</v>
      </c>
      <c r="AU37" s="45"/>
      <c r="AV37" s="45">
        <v>8346</v>
      </c>
      <c r="AW37" s="45">
        <v>566.25</v>
      </c>
      <c r="AX37" s="45"/>
      <c r="AY37" s="45">
        <v>8900</v>
      </c>
      <c r="AZ37" s="45">
        <v>82.94</v>
      </c>
      <c r="BA37" s="45">
        <v>25980.58</v>
      </c>
      <c r="BB37" s="45">
        <v>116</v>
      </c>
      <c r="BC37" s="45">
        <v>6173.6</v>
      </c>
      <c r="BD37" s="45"/>
      <c r="BE37" s="45">
        <v>54886.9</v>
      </c>
      <c r="BF37" s="45"/>
      <c r="BG37" s="45">
        <v>78308.9</v>
      </c>
      <c r="BH37" s="45"/>
      <c r="BK37" s="60"/>
    </row>
    <row r="38" spans="1:63" s="46" customFormat="1" ht="12.75">
      <c r="A38" s="43"/>
      <c r="B38" s="67" t="s">
        <v>91</v>
      </c>
      <c r="C38" s="44">
        <f t="shared" si="7"/>
        <v>0</v>
      </c>
      <c r="D38" s="45"/>
      <c r="E38" s="5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K38" s="60"/>
    </row>
    <row r="39" spans="1:63" ht="12.75">
      <c r="A39" s="39"/>
      <c r="B39" s="90" t="s">
        <v>80</v>
      </c>
      <c r="C39" s="16">
        <f t="shared" si="7"/>
        <v>2838019.42</v>
      </c>
      <c r="D39" s="40"/>
      <c r="E39" s="17"/>
      <c r="F39" s="40"/>
      <c r="G39" s="40">
        <v>1266271</v>
      </c>
      <c r="H39" s="40">
        <v>91608</v>
      </c>
      <c r="I39" s="40">
        <v>17336</v>
      </c>
      <c r="J39" s="40">
        <v>161547.1</v>
      </c>
      <c r="K39" s="40">
        <v>180789.97</v>
      </c>
      <c r="L39" s="40">
        <v>94460</v>
      </c>
      <c r="M39" s="40"/>
      <c r="N39" s="40"/>
      <c r="O39" s="40">
        <v>13058.8</v>
      </c>
      <c r="P39" s="40">
        <v>17500</v>
      </c>
      <c r="Q39" s="40">
        <v>70331</v>
      </c>
      <c r="R39" s="40"/>
      <c r="S39" s="40">
        <v>79691.05</v>
      </c>
      <c r="T39" s="40">
        <v>48498</v>
      </c>
      <c r="U39" s="40"/>
      <c r="V39" s="40"/>
      <c r="W39" s="40"/>
      <c r="X39" s="40"/>
      <c r="Y39" s="40">
        <v>6333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>
        <v>790562.5</v>
      </c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>
        <v>33</v>
      </c>
      <c r="BE39" s="40"/>
      <c r="BF39" s="40"/>
      <c r="BG39" s="40"/>
      <c r="BH39" s="40"/>
      <c r="BK39" s="60"/>
    </row>
    <row r="40" spans="1:63" ht="12.75">
      <c r="A40" s="39"/>
      <c r="B40" s="76"/>
      <c r="C40" s="16"/>
      <c r="D40" s="40"/>
      <c r="E40" s="17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K40" s="60"/>
    </row>
    <row r="41" spans="1:63" s="25" customFormat="1" ht="12.75">
      <c r="A41" s="47" t="s">
        <v>64</v>
      </c>
      <c r="B41" s="88" t="s">
        <v>82</v>
      </c>
      <c r="C41" s="16">
        <f>SUM(D41:BH41)</f>
        <v>185385607.76999995</v>
      </c>
      <c r="D41" s="42">
        <f>SUM(D43:D49)</f>
        <v>911760.6699999996</v>
      </c>
      <c r="E41" s="42">
        <f aca="true" t="shared" si="10" ref="E41:BH41">SUM(E43:E49)</f>
        <v>601444.0900000001</v>
      </c>
      <c r="F41" s="42">
        <f t="shared" si="10"/>
        <v>212108.74</v>
      </c>
      <c r="G41" s="42">
        <f t="shared" si="10"/>
        <v>5408061.160000002</v>
      </c>
      <c r="H41" s="42">
        <f t="shared" si="10"/>
        <v>11208553.450000003</v>
      </c>
      <c r="I41" s="42">
        <f t="shared" si="10"/>
        <v>655725.4499999956</v>
      </c>
      <c r="J41" s="42">
        <f t="shared" si="10"/>
        <v>10233302.25</v>
      </c>
      <c r="K41" s="42">
        <f t="shared" si="10"/>
        <v>74330891.63</v>
      </c>
      <c r="L41" s="42">
        <f t="shared" si="10"/>
        <v>171911.73000000045</v>
      </c>
      <c r="M41" s="42">
        <f t="shared" si="10"/>
        <v>132314.0199999985</v>
      </c>
      <c r="N41" s="42">
        <f t="shared" si="10"/>
        <v>491407.57</v>
      </c>
      <c r="O41" s="42">
        <f t="shared" si="10"/>
        <v>4902046.890000004</v>
      </c>
      <c r="P41" s="42">
        <f t="shared" si="10"/>
        <v>175092.38000000225</v>
      </c>
      <c r="Q41" s="42">
        <f t="shared" si="10"/>
        <v>241929.46</v>
      </c>
      <c r="R41" s="42">
        <f t="shared" si="10"/>
        <v>198614.6000000015</v>
      </c>
      <c r="S41" s="42">
        <f t="shared" si="10"/>
        <v>143584.2599999979</v>
      </c>
      <c r="T41" s="42">
        <f t="shared" si="10"/>
        <v>119780</v>
      </c>
      <c r="U41" s="42">
        <f t="shared" si="10"/>
        <v>177774.86</v>
      </c>
      <c r="V41" s="42">
        <f t="shared" si="10"/>
        <v>59821.5</v>
      </c>
      <c r="W41" s="42">
        <f t="shared" si="10"/>
        <v>235227.79999999888</v>
      </c>
      <c r="X41" s="42">
        <f t="shared" si="10"/>
        <v>114536.69000000022</v>
      </c>
      <c r="Y41" s="42">
        <f t="shared" si="10"/>
        <v>45492130.9</v>
      </c>
      <c r="Z41" s="42">
        <f t="shared" si="10"/>
        <v>6198.75</v>
      </c>
      <c r="AA41" s="42">
        <f t="shared" si="10"/>
        <v>0</v>
      </c>
      <c r="AB41" s="42">
        <f t="shared" si="10"/>
        <v>3080013.3600000003</v>
      </c>
      <c r="AC41" s="42">
        <f t="shared" si="10"/>
        <v>805760.75</v>
      </c>
      <c r="AD41" s="42">
        <f t="shared" si="10"/>
        <v>0</v>
      </c>
      <c r="AE41" s="42">
        <f t="shared" si="10"/>
        <v>2050.25</v>
      </c>
      <c r="AF41" s="42">
        <f t="shared" si="10"/>
        <v>116253</v>
      </c>
      <c r="AG41" s="42">
        <f t="shared" si="10"/>
        <v>0</v>
      </c>
      <c r="AH41" s="42">
        <f t="shared" si="10"/>
        <v>215.25</v>
      </c>
      <c r="AI41" s="42">
        <f t="shared" si="10"/>
        <v>8415.600000000186</v>
      </c>
      <c r="AJ41" s="42">
        <f t="shared" si="10"/>
        <v>9940</v>
      </c>
      <c r="AK41" s="42">
        <f t="shared" si="10"/>
        <v>81663.9</v>
      </c>
      <c r="AL41" s="42">
        <f t="shared" si="10"/>
        <v>582600</v>
      </c>
      <c r="AM41" s="42">
        <f t="shared" si="10"/>
        <v>0</v>
      </c>
      <c r="AN41" s="42">
        <f t="shared" si="10"/>
        <v>6060</v>
      </c>
      <c r="AO41" s="42">
        <f t="shared" si="10"/>
        <v>1937537.8199999998</v>
      </c>
      <c r="AP41" s="42">
        <f t="shared" si="10"/>
        <v>1277.25</v>
      </c>
      <c r="AQ41" s="42">
        <f t="shared" si="10"/>
        <v>0</v>
      </c>
      <c r="AR41" s="42">
        <f t="shared" si="10"/>
        <v>13546.61</v>
      </c>
      <c r="AS41" s="42">
        <f t="shared" si="10"/>
        <v>12942.139999999665</v>
      </c>
      <c r="AT41" s="42">
        <f t="shared" si="10"/>
        <v>19031</v>
      </c>
      <c r="AU41" s="42">
        <f t="shared" si="10"/>
        <v>25384.5</v>
      </c>
      <c r="AV41" s="42">
        <f t="shared" si="10"/>
        <v>21023855.4</v>
      </c>
      <c r="AW41" s="42">
        <f t="shared" si="10"/>
        <v>75</v>
      </c>
      <c r="AX41" s="42">
        <f t="shared" si="10"/>
        <v>175142.34</v>
      </c>
      <c r="AY41" s="42">
        <f t="shared" si="10"/>
        <v>41667.45000000009</v>
      </c>
      <c r="AZ41" s="42">
        <f t="shared" si="10"/>
        <v>28061.639999998966</v>
      </c>
      <c r="BA41" s="42">
        <f t="shared" si="10"/>
        <v>10001</v>
      </c>
      <c r="BB41" s="42">
        <f t="shared" si="10"/>
        <v>665</v>
      </c>
      <c r="BC41" s="42">
        <f t="shared" si="10"/>
        <v>75654.70000000112</v>
      </c>
      <c r="BD41" s="42">
        <f t="shared" si="10"/>
        <v>987178.9100000001</v>
      </c>
      <c r="BE41" s="42">
        <f t="shared" si="10"/>
        <v>12128.8</v>
      </c>
      <c r="BF41" s="42">
        <f t="shared" si="10"/>
        <v>45652.75</v>
      </c>
      <c r="BG41" s="42">
        <f t="shared" si="10"/>
        <v>34267.5</v>
      </c>
      <c r="BH41" s="42">
        <f t="shared" si="10"/>
        <v>24347</v>
      </c>
      <c r="BK41" s="60"/>
    </row>
    <row r="42" spans="1:63" s="25" customFormat="1" ht="12.75">
      <c r="A42" s="47"/>
      <c r="B42" s="91" t="s">
        <v>88</v>
      </c>
      <c r="C42" s="1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K42" s="60"/>
    </row>
    <row r="43" spans="1:63" ht="12.75">
      <c r="A43" s="39"/>
      <c r="B43" s="76" t="s">
        <v>101</v>
      </c>
      <c r="C43" s="16">
        <f aca="true" t="shared" si="11" ref="C43:C49">SUM(D43:BH43)</f>
        <v>59843565.62</v>
      </c>
      <c r="D43" s="40">
        <f>8010040.02-8000000</f>
        <v>10040.019999999553</v>
      </c>
      <c r="E43" s="17">
        <f>4949200-4949200</f>
        <v>0</v>
      </c>
      <c r="F43" s="40">
        <f>40937210.67-4400000-24465710.93-12071499.74</f>
        <v>0</v>
      </c>
      <c r="G43" s="40">
        <f>31683226.48-27675000</f>
        <v>4008226.4800000004</v>
      </c>
      <c r="H43" s="40">
        <f>33727620-33727620</f>
        <v>0</v>
      </c>
      <c r="I43" s="40">
        <f>2906640.85-2905998</f>
        <v>642.8500000000931</v>
      </c>
      <c r="J43" s="40">
        <f>17637470-4887470-1750000-1000000</f>
        <v>10000000</v>
      </c>
      <c r="K43" s="40">
        <f>48165163.91-23154200</f>
        <v>25010963.909999996</v>
      </c>
      <c r="L43" s="40">
        <f>6946713.53-6946713.53</f>
        <v>0</v>
      </c>
      <c r="M43" s="40">
        <f>19670964.77-19670153.37</f>
        <v>811.3999999985099</v>
      </c>
      <c r="N43" s="40">
        <f>220463341-220463341</f>
        <v>0</v>
      </c>
      <c r="O43" s="40">
        <f>69210290.11-69210290.11</f>
        <v>0</v>
      </c>
      <c r="P43" s="40">
        <f>93543580.99-93543580.99</f>
        <v>0</v>
      </c>
      <c r="Q43" s="40"/>
      <c r="R43" s="40">
        <f>10439832.42-10439832.42</f>
        <v>0</v>
      </c>
      <c r="S43" s="40">
        <f>9753493.45-9753493.45</f>
        <v>0</v>
      </c>
      <c r="T43" s="40">
        <f>145284180.69-145284180.69</f>
        <v>0</v>
      </c>
      <c r="U43" s="40">
        <v>26668.61</v>
      </c>
      <c r="V43" s="40">
        <f>48199000-48199000</f>
        <v>0</v>
      </c>
      <c r="W43" s="40">
        <f>13361875.46-13361875.46</f>
        <v>0</v>
      </c>
      <c r="X43" s="40">
        <f>7102781.43-7102781.43</f>
        <v>0</v>
      </c>
      <c r="Y43" s="40">
        <f>81002963-1000000-47631234-4247099.35-8019070</f>
        <v>20105559.65</v>
      </c>
      <c r="Z43" s="40">
        <f>79597475.7-79597475.7</f>
        <v>0</v>
      </c>
      <c r="AA43" s="40"/>
      <c r="AB43" s="40">
        <f>27177132.07-27177132.07</f>
        <v>0</v>
      </c>
      <c r="AC43" s="40">
        <f>67486374.79-67486374.79</f>
        <v>0</v>
      </c>
      <c r="AD43" s="40">
        <f>21897970-21897970</f>
        <v>0</v>
      </c>
      <c r="AE43" s="40">
        <f>15989682-15989682</f>
        <v>0</v>
      </c>
      <c r="AF43" s="40">
        <f>11385050-11385050</f>
        <v>0</v>
      </c>
      <c r="AG43" s="40">
        <f>30000000-30000000</f>
        <v>0</v>
      </c>
      <c r="AH43" s="40">
        <f>54326380.87-54326380.87</f>
        <v>0</v>
      </c>
      <c r="AI43" s="40">
        <f>4367360.7-4362330</f>
        <v>5030.700000000186</v>
      </c>
      <c r="AJ43" s="40">
        <f>6655400-6655400</f>
        <v>0</v>
      </c>
      <c r="AK43" s="40">
        <f>5048056-5048056</f>
        <v>0</v>
      </c>
      <c r="AL43" s="40">
        <f>1177234-1177234</f>
        <v>0</v>
      </c>
      <c r="AM43" s="40">
        <f>593596.29-593596.29</f>
        <v>0</v>
      </c>
      <c r="AN43" s="40"/>
      <c r="AO43" s="40">
        <f>29829705-29165880</f>
        <v>663825</v>
      </c>
      <c r="AP43" s="40"/>
      <c r="AQ43" s="40">
        <f>1377746.6-1377746.6</f>
        <v>0</v>
      </c>
      <c r="AR43" s="40">
        <f>31369092.07-31369092.07</f>
        <v>0</v>
      </c>
      <c r="AS43" s="40"/>
      <c r="AT43" s="40">
        <f>349300-349300</f>
        <v>0</v>
      </c>
      <c r="AU43" s="40">
        <f>3285143.7-3285143.7</f>
        <v>0</v>
      </c>
      <c r="AV43" s="40">
        <f>3500000-3500000</f>
        <v>0</v>
      </c>
      <c r="AW43" s="40">
        <f>73407390.92-8728375-64679015.92</f>
        <v>0</v>
      </c>
      <c r="AX43" s="40">
        <f>1000000-1000000</f>
        <v>0</v>
      </c>
      <c r="AY43" s="40">
        <f>14824199.34-14824199.34</f>
        <v>0</v>
      </c>
      <c r="AZ43" s="40">
        <f>43336374.73-43336374.73</f>
        <v>0</v>
      </c>
      <c r="BA43" s="40">
        <f>8336650-8336650</f>
        <v>0</v>
      </c>
      <c r="BB43" s="40">
        <f>3519114.82-3519114.82</f>
        <v>0</v>
      </c>
      <c r="BC43" s="40">
        <f>4917478-4917478</f>
        <v>0</v>
      </c>
      <c r="BD43" s="40">
        <f>1000000-1000000</f>
        <v>0</v>
      </c>
      <c r="BE43" s="40">
        <f>2651291-2651291</f>
        <v>0</v>
      </c>
      <c r="BF43" s="40">
        <f>4933131-4933131</f>
        <v>0</v>
      </c>
      <c r="BG43" s="40">
        <f>12276293-10000000-499250-1777043</f>
        <v>0</v>
      </c>
      <c r="BH43" s="40">
        <f>1255922-1244125</f>
        <v>11797</v>
      </c>
      <c r="BK43" s="60"/>
    </row>
    <row r="44" spans="1:256" s="104" customFormat="1" ht="12.75">
      <c r="A44" s="99"/>
      <c r="B44" s="100" t="s">
        <v>102</v>
      </c>
      <c r="C44" s="101">
        <f t="shared" si="11"/>
        <v>3904510.4400000004</v>
      </c>
      <c r="D44" s="102">
        <v>139440</v>
      </c>
      <c r="E44" s="103">
        <f>2168507.6-1827119.26</f>
        <v>341388.3400000001</v>
      </c>
      <c r="F44" s="102">
        <f>1600290-1330000-135790-100000</f>
        <v>34500</v>
      </c>
      <c r="G44" s="102">
        <v>170536.34</v>
      </c>
      <c r="H44" s="102">
        <v>275426.65</v>
      </c>
      <c r="I44" s="102">
        <f>39131.74-28671.74</f>
        <v>10459.999999999996</v>
      </c>
      <c r="J44" s="102">
        <f>5417572-5223628-33934</f>
        <v>160010</v>
      </c>
      <c r="K44" s="102">
        <v>215468.76</v>
      </c>
      <c r="L44" s="102">
        <f>145631</f>
        <v>145631</v>
      </c>
      <c r="M44" s="102">
        <v>87252.12</v>
      </c>
      <c r="N44" s="102">
        <f>241388-10000-48800</f>
        <v>182588</v>
      </c>
      <c r="O44" s="102">
        <v>481868.18</v>
      </c>
      <c r="P44" s="102">
        <v>48185.15</v>
      </c>
      <c r="Q44" s="102">
        <v>216252</v>
      </c>
      <c r="R44" s="102"/>
      <c r="S44" s="102">
        <v>143340</v>
      </c>
      <c r="T44" s="102">
        <v>119780</v>
      </c>
      <c r="U44" s="102">
        <f>235236.71-87937.71</f>
        <v>147299</v>
      </c>
      <c r="V44" s="102">
        <v>51341</v>
      </c>
      <c r="W44" s="102">
        <v>28580</v>
      </c>
      <c r="X44" s="102">
        <v>58759.7</v>
      </c>
      <c r="Y44" s="102">
        <f>1298014-1071701-192232</f>
        <v>34081</v>
      </c>
      <c r="Z44" s="102">
        <v>5580</v>
      </c>
      <c r="AA44" s="102"/>
      <c r="AB44" s="102">
        <v>26372</v>
      </c>
      <c r="AC44" s="102">
        <f>1044488-900000</f>
        <v>144488</v>
      </c>
      <c r="AD44" s="102"/>
      <c r="AE44" s="102"/>
      <c r="AF44" s="102">
        <v>116253</v>
      </c>
      <c r="AG44" s="102"/>
      <c r="AH44" s="102"/>
      <c r="AI44" s="102"/>
      <c r="AJ44" s="102">
        <v>9940</v>
      </c>
      <c r="AK44" s="102">
        <v>55630.4</v>
      </c>
      <c r="AL44" s="102"/>
      <c r="AM44" s="102"/>
      <c r="AN44" s="102">
        <v>5860</v>
      </c>
      <c r="AO44" s="102">
        <v>269327.2</v>
      </c>
      <c r="AP44" s="102">
        <v>1000</v>
      </c>
      <c r="AQ44" s="102"/>
      <c r="AR44" s="102">
        <v>5000</v>
      </c>
      <c r="AS44" s="102">
        <v>4888</v>
      </c>
      <c r="AT44" s="102"/>
      <c r="AU44" s="102">
        <v>22290</v>
      </c>
      <c r="AV44" s="102"/>
      <c r="AW44" s="102">
        <f>343500-343500</f>
        <v>0</v>
      </c>
      <c r="AX44" s="102"/>
      <c r="AY44" s="102">
        <v>11788.6</v>
      </c>
      <c r="AZ44" s="102">
        <f>65337-58297</f>
        <v>7040</v>
      </c>
      <c r="BA44" s="102">
        <v>10000</v>
      </c>
      <c r="BB44" s="102">
        <v>40</v>
      </c>
      <c r="BC44" s="102">
        <f>85173-57687</f>
        <v>27486</v>
      </c>
      <c r="BD44" s="102">
        <f>54377.5-54377.5</f>
        <v>0</v>
      </c>
      <c r="BE44" s="102">
        <v>2960</v>
      </c>
      <c r="BF44" s="102">
        <v>40000</v>
      </c>
      <c r="BG44" s="102">
        <f>36986-2906</f>
        <v>34080</v>
      </c>
      <c r="BH44" s="102">
        <v>12300</v>
      </c>
      <c r="BI44" s="46"/>
      <c r="BJ44" s="46"/>
      <c r="BK44" s="107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66" customFormat="1" ht="24">
      <c r="A45" s="63"/>
      <c r="B45" s="92" t="s">
        <v>112</v>
      </c>
      <c r="C45" s="98">
        <f t="shared" si="11"/>
        <v>117929156.43</v>
      </c>
      <c r="D45" s="64">
        <v>600000</v>
      </c>
      <c r="E45" s="65">
        <f>919550-919550</f>
        <v>0</v>
      </c>
      <c r="F45" s="64">
        <f>682645-604800-77845</f>
        <v>0</v>
      </c>
      <c r="G45" s="64">
        <f>37080976.75-36033756.08</f>
        <v>1047220.6700000018</v>
      </c>
      <c r="H45" s="64">
        <f>112172940.12-750000-600000-1000000-2500000-10214316.14-17485858.7-19898360-17928480-11828985.75-20595693.54</f>
        <v>9371245.990000002</v>
      </c>
      <c r="I45" s="64">
        <f>49177507.55-49149144.35</f>
        <v>28363.19999999553</v>
      </c>
      <c r="J45" s="64">
        <f>52981359.92-52981359.92</f>
        <v>0</v>
      </c>
      <c r="K45" s="64">
        <f>172571804.41-123605630.34</f>
        <v>48966174.06999999</v>
      </c>
      <c r="L45" s="64">
        <f>4447631.73-4441585</f>
        <v>6046.730000000447</v>
      </c>
      <c r="M45" s="64">
        <f>11570643.43-11570643.43</f>
        <v>0</v>
      </c>
      <c r="N45" s="64">
        <f>38328435.42-38038099.42</f>
        <v>290336</v>
      </c>
      <c r="O45" s="64">
        <f>111579329.19-107296500.82</f>
        <v>4282828.370000005</v>
      </c>
      <c r="P45" s="64">
        <f>23675527.03-23674814.63</f>
        <v>712.4000000022352</v>
      </c>
      <c r="Q45" s="64">
        <f>4252697.67-4252697.67</f>
        <v>0</v>
      </c>
      <c r="R45" s="64">
        <f>39492855.4-39304399.55</f>
        <v>188455.8500000015</v>
      </c>
      <c r="S45" s="64">
        <f>41313375.37-41313375.36</f>
        <v>0.009999997913837433</v>
      </c>
      <c r="T45" s="64">
        <f>365375.79-365375.79</f>
        <v>0</v>
      </c>
      <c r="U45" s="64"/>
      <c r="V45" s="64">
        <f>73630530.64-73630530.64</f>
        <v>0</v>
      </c>
      <c r="W45" s="64">
        <f>12740685.18-12534037.38</f>
        <v>206647.79999999888</v>
      </c>
      <c r="X45" s="64">
        <f>9969981.03-9919991.54</f>
        <v>49989.49000000022</v>
      </c>
      <c r="Y45" s="64">
        <f>28541057.36-3221385.36</f>
        <v>25319672</v>
      </c>
      <c r="Z45" s="64">
        <f>45088.08-45088.08</f>
        <v>0</v>
      </c>
      <c r="AA45" s="64"/>
      <c r="AB45" s="64">
        <f>6321986.91-3268470.55</f>
        <v>3053516.3600000003</v>
      </c>
      <c r="AC45" s="64">
        <f>41336422.2-40686422.2</f>
        <v>650000</v>
      </c>
      <c r="AD45" s="64">
        <f>3771876.24-3771876.24</f>
        <v>0</v>
      </c>
      <c r="AE45" s="64">
        <f>40535735.22-40535735.22</f>
        <v>0</v>
      </c>
      <c r="AF45" s="64">
        <f>1962880.18-1962880.18</f>
        <v>0</v>
      </c>
      <c r="AG45" s="64"/>
      <c r="AH45" s="64">
        <f>5567833.71-4130516-1437317.71</f>
        <v>0</v>
      </c>
      <c r="AI45" s="64">
        <v>2516.15</v>
      </c>
      <c r="AJ45" s="64">
        <f>1454284.35-569180-885104.35</f>
        <v>0</v>
      </c>
      <c r="AK45" s="64">
        <f>6686925.34-6663229.34</f>
        <v>23696</v>
      </c>
      <c r="AL45" s="64">
        <f>1679691.03-1097091.03</f>
        <v>582600</v>
      </c>
      <c r="AM45" s="64">
        <f>1967855-1967855</f>
        <v>0</v>
      </c>
      <c r="AN45" s="64">
        <f>3481917.6-3481917.6</f>
        <v>0</v>
      </c>
      <c r="AO45" s="64">
        <f>3712564.79-1467500.29-930350-66137-161493-99500</f>
        <v>987584.5</v>
      </c>
      <c r="AP45" s="64">
        <f>2352631.5-2352631.5</f>
        <v>0</v>
      </c>
      <c r="AQ45" s="64"/>
      <c r="AR45" s="64">
        <v>3026.61</v>
      </c>
      <c r="AS45" s="64">
        <f>4771607.46-4763897.07</f>
        <v>7710.389999999665</v>
      </c>
      <c r="AT45" s="64"/>
      <c r="AU45" s="64"/>
      <c r="AV45" s="64">
        <f>22219140.22-1195997.32</f>
        <v>21023142.9</v>
      </c>
      <c r="AW45" s="64">
        <f>588870-588870</f>
        <v>0</v>
      </c>
      <c r="AX45" s="64">
        <v>175142.34</v>
      </c>
      <c r="AY45" s="64">
        <f>1733728.26-1705978.66</f>
        <v>27749.600000000093</v>
      </c>
      <c r="AZ45" s="64">
        <f>11160562.95-214180-4160000-6105112.07-44650.34-636620.15</f>
        <v>0.38999999896623194</v>
      </c>
      <c r="BA45" s="64">
        <f>683183-683182</f>
        <v>1</v>
      </c>
      <c r="BB45" s="64"/>
      <c r="BC45" s="64">
        <f>13737996.89-13690398.19</f>
        <v>47598.70000000112</v>
      </c>
      <c r="BD45" s="64">
        <f>2951024.91-1963846</f>
        <v>987178.9100000001</v>
      </c>
      <c r="BE45" s="64">
        <f>9877648.68-9877648.68</f>
        <v>0</v>
      </c>
      <c r="BF45" s="64">
        <f>477824.21-477824.21</f>
        <v>0</v>
      </c>
      <c r="BG45" s="64">
        <f>43124324.85-43124324.85</f>
        <v>0</v>
      </c>
      <c r="BH45" s="64">
        <f>4418460.85-256846.23-3398630-762984.62</f>
        <v>0</v>
      </c>
      <c r="BI45" s="108"/>
      <c r="BJ45" s="108"/>
      <c r="BK45" s="109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 s="104" customFormat="1" ht="24">
      <c r="A46" s="99"/>
      <c r="B46" s="105" t="s">
        <v>103</v>
      </c>
      <c r="C46" s="106">
        <f t="shared" si="11"/>
        <v>2177525.09</v>
      </c>
      <c r="D46" s="102">
        <v>0</v>
      </c>
      <c r="E46" s="103">
        <f>1462625-1462625</f>
        <v>0</v>
      </c>
      <c r="F46" s="102">
        <f>1675300-706600-968700</f>
        <v>0</v>
      </c>
      <c r="G46" s="102">
        <v>130266.42</v>
      </c>
      <c r="H46" s="102">
        <f>1608140.8-173140.8</f>
        <v>1435000</v>
      </c>
      <c r="I46" s="102">
        <v>477597.9</v>
      </c>
      <c r="J46" s="102"/>
      <c r="K46" s="102"/>
      <c r="L46" s="102">
        <f>166000-166000</f>
        <v>0</v>
      </c>
      <c r="M46" s="102"/>
      <c r="N46" s="102">
        <f>6081201.87-2080000-4001201.87</f>
        <v>0</v>
      </c>
      <c r="O46" s="102">
        <v>126572.85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>
        <f>2122796.25-2122796.25</f>
        <v>0</v>
      </c>
      <c r="AI46" s="102">
        <f>102062.25-102062.25</f>
        <v>0</v>
      </c>
      <c r="AJ46" s="102">
        <f>271832.71-271832.71</f>
        <v>0</v>
      </c>
      <c r="AK46" s="102"/>
      <c r="AL46" s="102"/>
      <c r="AM46" s="102"/>
      <c r="AN46" s="102"/>
      <c r="AO46" s="102">
        <f>1465653.13-1465459.01</f>
        <v>194.11999999987893</v>
      </c>
      <c r="AP46" s="102"/>
      <c r="AQ46" s="102"/>
      <c r="AR46" s="102"/>
      <c r="AS46" s="102"/>
      <c r="AT46" s="102">
        <f>533241-533241</f>
        <v>0</v>
      </c>
      <c r="AU46" s="102"/>
      <c r="AV46" s="102"/>
      <c r="AW46" s="102"/>
      <c r="AX46" s="102"/>
      <c r="AY46" s="102"/>
      <c r="AZ46" s="102">
        <f>2527.23-2527.23</f>
        <v>0</v>
      </c>
      <c r="BA46" s="102">
        <f>48600-48600</f>
        <v>0</v>
      </c>
      <c r="BB46" s="102">
        <f>1580726.94-1580726.94</f>
        <v>0</v>
      </c>
      <c r="BC46" s="102"/>
      <c r="BD46" s="102">
        <f>574291.07-574291.07</f>
        <v>0</v>
      </c>
      <c r="BE46" s="102">
        <v>7893.8</v>
      </c>
      <c r="BF46" s="102"/>
      <c r="BG46" s="102"/>
      <c r="BH46" s="102">
        <f>8287061.97-3727832-4559229.97</f>
        <v>0</v>
      </c>
      <c r="BI46" s="46"/>
      <c r="BJ46" s="46"/>
      <c r="BK46" s="107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63" s="66" customFormat="1" ht="25.5">
      <c r="A47" s="63"/>
      <c r="B47" s="92" t="s">
        <v>104</v>
      </c>
      <c r="C47" s="16">
        <f t="shared" si="11"/>
        <v>0</v>
      </c>
      <c r="D47" s="64"/>
      <c r="E47" s="65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K47" s="60"/>
    </row>
    <row r="48" spans="1:63" ht="12.75">
      <c r="A48" s="39"/>
      <c r="B48" s="90" t="s">
        <v>78</v>
      </c>
      <c r="C48" s="16">
        <f t="shared" si="11"/>
        <v>1511894.19</v>
      </c>
      <c r="D48" s="40">
        <v>162280.65</v>
      </c>
      <c r="E48" s="17">
        <v>260055.75</v>
      </c>
      <c r="F48" s="40">
        <v>177608.74</v>
      </c>
      <c r="G48" s="40">
        <v>51811.25</v>
      </c>
      <c r="H48" s="40">
        <v>126880.81</v>
      </c>
      <c r="I48" s="40">
        <v>138661.5</v>
      </c>
      <c r="J48" s="40">
        <v>73292.25</v>
      </c>
      <c r="K48" s="40">
        <v>138284.89</v>
      </c>
      <c r="L48" s="40">
        <v>20234</v>
      </c>
      <c r="M48" s="40">
        <v>44250.5</v>
      </c>
      <c r="N48" s="40">
        <v>18483.57</v>
      </c>
      <c r="O48" s="40">
        <v>10777.49</v>
      </c>
      <c r="P48" s="40">
        <v>126194.83</v>
      </c>
      <c r="Q48" s="40">
        <v>25677.46</v>
      </c>
      <c r="R48" s="40">
        <v>10158.75</v>
      </c>
      <c r="S48" s="40">
        <v>244.25</v>
      </c>
      <c r="T48" s="40"/>
      <c r="U48" s="40">
        <v>3807.25</v>
      </c>
      <c r="V48" s="40">
        <v>8480.5</v>
      </c>
      <c r="W48" s="40"/>
      <c r="X48" s="40">
        <v>5787.5</v>
      </c>
      <c r="Y48" s="40">
        <v>32818.25</v>
      </c>
      <c r="Z48" s="40">
        <v>618.75</v>
      </c>
      <c r="AA48" s="40"/>
      <c r="AB48" s="40">
        <v>125</v>
      </c>
      <c r="AC48" s="40">
        <v>11272.75</v>
      </c>
      <c r="AD48" s="40"/>
      <c r="AE48" s="40">
        <v>2050.25</v>
      </c>
      <c r="AF48" s="40"/>
      <c r="AG48" s="40"/>
      <c r="AH48" s="40">
        <v>215.25</v>
      </c>
      <c r="AI48" s="40">
        <v>868.75</v>
      </c>
      <c r="AJ48" s="40"/>
      <c r="AK48" s="40">
        <v>2337.5</v>
      </c>
      <c r="AL48" s="40"/>
      <c r="AM48" s="40"/>
      <c r="AN48" s="40">
        <v>200</v>
      </c>
      <c r="AO48" s="40">
        <v>16607</v>
      </c>
      <c r="AP48" s="40">
        <v>277.25</v>
      </c>
      <c r="AQ48" s="40"/>
      <c r="AR48" s="40">
        <v>5520</v>
      </c>
      <c r="AS48" s="40">
        <v>343.75</v>
      </c>
      <c r="AT48" s="40">
        <v>75</v>
      </c>
      <c r="AU48" s="40">
        <v>3094.5</v>
      </c>
      <c r="AV48" s="40">
        <v>712.5</v>
      </c>
      <c r="AW48" s="40">
        <v>75</v>
      </c>
      <c r="AX48" s="40"/>
      <c r="AY48" s="40">
        <v>2129.25</v>
      </c>
      <c r="AZ48" s="40">
        <v>21021.25</v>
      </c>
      <c r="BA48" s="40"/>
      <c r="BB48" s="40">
        <v>625</v>
      </c>
      <c r="BC48" s="40">
        <v>570</v>
      </c>
      <c r="BD48" s="40"/>
      <c r="BE48" s="40">
        <v>1275</v>
      </c>
      <c r="BF48" s="40">
        <v>5652.75</v>
      </c>
      <c r="BG48" s="40">
        <v>187.5</v>
      </c>
      <c r="BH48" s="40">
        <v>250</v>
      </c>
      <c r="BK48" s="60"/>
    </row>
    <row r="49" spans="1:63" ht="12.75">
      <c r="A49" s="39"/>
      <c r="B49" s="90" t="s">
        <v>94</v>
      </c>
      <c r="C49" s="16">
        <f t="shared" si="11"/>
        <v>18956</v>
      </c>
      <c r="D49" s="40"/>
      <c r="E49" s="1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>
        <v>18956</v>
      </c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K49" s="60"/>
    </row>
    <row r="50" spans="1:63" ht="13.5" thickBot="1">
      <c r="A50" s="15"/>
      <c r="B50" s="76"/>
      <c r="C50" s="16"/>
      <c r="D50" s="40"/>
      <c r="E50" s="1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K50" s="60"/>
    </row>
    <row r="51" spans="1:63" s="35" customFormat="1" ht="14.25" thickBot="1" thickTop="1">
      <c r="A51" s="48" t="s">
        <v>66</v>
      </c>
      <c r="B51" s="93" t="s">
        <v>107</v>
      </c>
      <c r="C51" s="49">
        <f aca="true" t="shared" si="12" ref="C51:C59">SUM(D51:BH51)</f>
        <v>192782330.44000006</v>
      </c>
      <c r="D51" s="49">
        <f aca="true" t="shared" si="13" ref="D51:AI51">SUM(D32,D41)</f>
        <v>911760.6699999996</v>
      </c>
      <c r="E51" s="49">
        <f t="shared" si="13"/>
        <v>606202.3200000001</v>
      </c>
      <c r="F51" s="49">
        <f t="shared" si="13"/>
        <v>215465.74</v>
      </c>
      <c r="G51" s="49">
        <f t="shared" si="13"/>
        <v>6674332.160000002</v>
      </c>
      <c r="H51" s="49">
        <f t="shared" si="13"/>
        <v>11363984.750000004</v>
      </c>
      <c r="I51" s="49">
        <f t="shared" si="13"/>
        <v>2140528.5999999954</v>
      </c>
      <c r="J51" s="49">
        <f t="shared" si="13"/>
        <v>10524507.93</v>
      </c>
      <c r="K51" s="49">
        <f t="shared" si="13"/>
        <v>75138173.19999999</v>
      </c>
      <c r="L51" s="49">
        <f t="shared" si="13"/>
        <v>365179.18000000046</v>
      </c>
      <c r="M51" s="49">
        <f t="shared" si="13"/>
        <v>730577.2099999984</v>
      </c>
      <c r="N51" s="49">
        <f t="shared" si="13"/>
        <v>767920.21</v>
      </c>
      <c r="O51" s="49">
        <f t="shared" si="13"/>
        <v>4915105.690000004</v>
      </c>
      <c r="P51" s="49">
        <f t="shared" si="13"/>
        <v>768809.4800000022</v>
      </c>
      <c r="Q51" s="49">
        <f t="shared" si="13"/>
        <v>312260.45999999996</v>
      </c>
      <c r="R51" s="49">
        <f t="shared" si="13"/>
        <v>198614.6000000015</v>
      </c>
      <c r="S51" s="49">
        <f t="shared" si="13"/>
        <v>223275.3099999979</v>
      </c>
      <c r="T51" s="49">
        <f t="shared" si="13"/>
        <v>168278</v>
      </c>
      <c r="U51" s="49">
        <f t="shared" si="13"/>
        <v>177774.86</v>
      </c>
      <c r="V51" s="49">
        <f t="shared" si="13"/>
        <v>59821.5</v>
      </c>
      <c r="W51" s="49">
        <f t="shared" si="13"/>
        <v>235227.79999999888</v>
      </c>
      <c r="X51" s="49">
        <f t="shared" si="13"/>
        <v>188201.06000000023</v>
      </c>
      <c r="Y51" s="49">
        <f t="shared" si="13"/>
        <v>45563106.64</v>
      </c>
      <c r="Z51" s="49">
        <f t="shared" si="13"/>
        <v>6198.75</v>
      </c>
      <c r="AA51" s="49">
        <f t="shared" si="13"/>
        <v>10187</v>
      </c>
      <c r="AB51" s="49">
        <f t="shared" si="13"/>
        <v>3080013.3600000003</v>
      </c>
      <c r="AC51" s="49">
        <f t="shared" si="13"/>
        <v>805760.75</v>
      </c>
      <c r="AD51" s="49">
        <f t="shared" si="13"/>
        <v>3476.82</v>
      </c>
      <c r="AE51" s="49">
        <f t="shared" si="13"/>
        <v>2050.25</v>
      </c>
      <c r="AF51" s="49">
        <f t="shared" si="13"/>
        <v>116253</v>
      </c>
      <c r="AG51" s="49">
        <f t="shared" si="13"/>
        <v>7437</v>
      </c>
      <c r="AH51" s="49">
        <f t="shared" si="13"/>
        <v>215.25</v>
      </c>
      <c r="AI51" s="49">
        <f t="shared" si="13"/>
        <v>8415.600000000186</v>
      </c>
      <c r="AJ51" s="49">
        <f aca="true" t="shared" si="14" ref="AJ51:BH51">SUM(AJ32,AJ41)</f>
        <v>12198</v>
      </c>
      <c r="AK51" s="49">
        <f t="shared" si="14"/>
        <v>81663.9</v>
      </c>
      <c r="AL51" s="49">
        <f t="shared" si="14"/>
        <v>583328</v>
      </c>
      <c r="AM51" s="49">
        <f t="shared" si="14"/>
        <v>0</v>
      </c>
      <c r="AN51" s="49">
        <f t="shared" si="14"/>
        <v>97678.02</v>
      </c>
      <c r="AO51" s="49">
        <f t="shared" si="14"/>
        <v>2728124.03</v>
      </c>
      <c r="AP51" s="49">
        <f t="shared" si="14"/>
        <v>12744.25</v>
      </c>
      <c r="AQ51" s="49">
        <f t="shared" si="14"/>
        <v>3208.05</v>
      </c>
      <c r="AR51" s="49">
        <f t="shared" si="14"/>
        <v>20914.61</v>
      </c>
      <c r="AS51" s="49">
        <f t="shared" si="14"/>
        <v>41499.55999999966</v>
      </c>
      <c r="AT51" s="49">
        <f t="shared" si="14"/>
        <v>45719</v>
      </c>
      <c r="AU51" s="49">
        <f t="shared" si="14"/>
        <v>25384.5</v>
      </c>
      <c r="AV51" s="49">
        <f t="shared" si="14"/>
        <v>21043997.4</v>
      </c>
      <c r="AW51" s="49">
        <f t="shared" si="14"/>
        <v>28865.42</v>
      </c>
      <c r="AX51" s="49">
        <f t="shared" si="14"/>
        <v>175142.34</v>
      </c>
      <c r="AY51" s="49">
        <f t="shared" si="14"/>
        <v>66889.4500000001</v>
      </c>
      <c r="AZ51" s="49">
        <f t="shared" si="14"/>
        <v>28144.579999998965</v>
      </c>
      <c r="BA51" s="49">
        <f t="shared" si="14"/>
        <v>47640.32</v>
      </c>
      <c r="BB51" s="49">
        <f t="shared" si="14"/>
        <v>4751</v>
      </c>
      <c r="BC51" s="49">
        <f t="shared" si="14"/>
        <v>97159.80000000112</v>
      </c>
      <c r="BD51" s="49">
        <f t="shared" si="14"/>
        <v>987211.9100000001</v>
      </c>
      <c r="BE51" s="49">
        <f t="shared" si="14"/>
        <v>107297.65000000001</v>
      </c>
      <c r="BF51" s="49">
        <f t="shared" si="14"/>
        <v>45652.75</v>
      </c>
      <c r="BG51" s="49">
        <f t="shared" si="14"/>
        <v>183653.75</v>
      </c>
      <c r="BH51" s="49">
        <f t="shared" si="14"/>
        <v>24347</v>
      </c>
      <c r="BK51" s="60"/>
    </row>
    <row r="52" spans="1:63" s="38" customFormat="1" ht="14.25" thickBot="1" thickTop="1">
      <c r="A52" s="50" t="s">
        <v>68</v>
      </c>
      <c r="B52" s="94" t="s">
        <v>109</v>
      </c>
      <c r="C52" s="51">
        <f t="shared" si="12"/>
        <v>-172097139.32</v>
      </c>
      <c r="D52" s="51">
        <f aca="true" t="shared" si="15" ref="D52:AI52">D28-D51</f>
        <v>-911760.6699999996</v>
      </c>
      <c r="E52" s="51">
        <f t="shared" si="15"/>
        <v>-606202.3200000001</v>
      </c>
      <c r="F52" s="51">
        <f t="shared" si="15"/>
        <v>2898435.17</v>
      </c>
      <c r="G52" s="51">
        <f t="shared" si="15"/>
        <v>-6057263.800000002</v>
      </c>
      <c r="H52" s="51">
        <f t="shared" si="15"/>
        <v>-10664406.020000003</v>
      </c>
      <c r="I52" s="51">
        <f t="shared" si="15"/>
        <v>-1890042.1699999955</v>
      </c>
      <c r="J52" s="51">
        <f t="shared" si="15"/>
        <v>-10524507.93</v>
      </c>
      <c r="K52" s="51">
        <f t="shared" si="15"/>
        <v>-70138173.19999999</v>
      </c>
      <c r="L52" s="51">
        <f t="shared" si="15"/>
        <v>2190688.539999999</v>
      </c>
      <c r="M52" s="51">
        <f t="shared" si="15"/>
        <v>1289120.5300000012</v>
      </c>
      <c r="N52" s="51">
        <f t="shared" si="15"/>
        <v>-759911.21</v>
      </c>
      <c r="O52" s="51">
        <f t="shared" si="15"/>
        <v>-4560904.860000004</v>
      </c>
      <c r="P52" s="51">
        <f t="shared" si="15"/>
        <v>-129063.68000000215</v>
      </c>
      <c r="Q52" s="51">
        <f t="shared" si="15"/>
        <v>1862848.98</v>
      </c>
      <c r="R52" s="51">
        <f t="shared" si="15"/>
        <v>180169.86999999848</v>
      </c>
      <c r="S52" s="51">
        <f t="shared" si="15"/>
        <v>-93370.09999999791</v>
      </c>
      <c r="T52" s="51">
        <f t="shared" si="15"/>
        <v>71052.70999999999</v>
      </c>
      <c r="U52" s="51">
        <f t="shared" si="15"/>
        <v>-121118.85999999999</v>
      </c>
      <c r="V52" s="51">
        <f t="shared" si="15"/>
        <v>109815.16999999998</v>
      </c>
      <c r="W52" s="51">
        <f t="shared" si="15"/>
        <v>438991.9400000011</v>
      </c>
      <c r="X52" s="51">
        <f t="shared" si="15"/>
        <v>-188201.06000000023</v>
      </c>
      <c r="Y52" s="51">
        <f t="shared" si="15"/>
        <v>-45563106.64</v>
      </c>
      <c r="Z52" s="51">
        <f t="shared" si="15"/>
        <v>10290.25</v>
      </c>
      <c r="AA52" s="51">
        <f t="shared" si="15"/>
        <v>-10187</v>
      </c>
      <c r="AB52" s="51">
        <f t="shared" si="15"/>
        <v>-3080013.3600000003</v>
      </c>
      <c r="AC52" s="51">
        <f t="shared" si="15"/>
        <v>-805760.75</v>
      </c>
      <c r="AD52" s="51">
        <f t="shared" si="15"/>
        <v>-2796.82</v>
      </c>
      <c r="AE52" s="51">
        <f t="shared" si="15"/>
        <v>6757.25</v>
      </c>
      <c r="AF52" s="51">
        <f t="shared" si="15"/>
        <v>-116253</v>
      </c>
      <c r="AG52" s="51">
        <f t="shared" si="15"/>
        <v>-7389</v>
      </c>
      <c r="AH52" s="51">
        <f t="shared" si="15"/>
        <v>30974.75</v>
      </c>
      <c r="AI52" s="51">
        <f t="shared" si="15"/>
        <v>-8415.600000000186</v>
      </c>
      <c r="AJ52" s="51">
        <f aca="true" t="shared" si="16" ref="AJ52:BH52">AJ28-AJ51</f>
        <v>-7665</v>
      </c>
      <c r="AK52" s="51">
        <f t="shared" si="16"/>
        <v>168336.1</v>
      </c>
      <c r="AL52" s="51">
        <f t="shared" si="16"/>
        <v>-582790</v>
      </c>
      <c r="AM52" s="51">
        <f t="shared" si="16"/>
        <v>0</v>
      </c>
      <c r="AN52" s="51">
        <f t="shared" si="16"/>
        <v>-97678.02</v>
      </c>
      <c r="AO52" s="51">
        <f t="shared" si="16"/>
        <v>-2726004.03</v>
      </c>
      <c r="AP52" s="51">
        <f t="shared" si="16"/>
        <v>-12744.25</v>
      </c>
      <c r="AQ52" s="51">
        <f t="shared" si="16"/>
        <v>-3208.05</v>
      </c>
      <c r="AR52" s="51">
        <f t="shared" si="16"/>
        <v>-20914.61</v>
      </c>
      <c r="AS52" s="51">
        <f t="shared" si="16"/>
        <v>-41499.55999999966</v>
      </c>
      <c r="AT52" s="51">
        <f t="shared" si="16"/>
        <v>-45719</v>
      </c>
      <c r="AU52" s="51">
        <f t="shared" si="16"/>
        <v>94370.26999999999</v>
      </c>
      <c r="AV52" s="51">
        <f t="shared" si="16"/>
        <v>-21043997.4</v>
      </c>
      <c r="AW52" s="51">
        <f t="shared" si="16"/>
        <v>-18805.42</v>
      </c>
      <c r="AX52" s="51">
        <f t="shared" si="16"/>
        <v>-163645.34</v>
      </c>
      <c r="AY52" s="51">
        <f t="shared" si="16"/>
        <v>277511.46999999986</v>
      </c>
      <c r="AZ52" s="51">
        <f t="shared" si="16"/>
        <v>207341.22000000102</v>
      </c>
      <c r="BA52" s="51">
        <f t="shared" si="16"/>
        <v>-47479.07</v>
      </c>
      <c r="BB52" s="51">
        <f t="shared" si="16"/>
        <v>-4751</v>
      </c>
      <c r="BC52" s="51">
        <f t="shared" si="16"/>
        <v>-97159.80000000112</v>
      </c>
      <c r="BD52" s="51">
        <f t="shared" si="16"/>
        <v>-930221.4100000001</v>
      </c>
      <c r="BE52" s="51">
        <f t="shared" si="16"/>
        <v>-107297.65000000001</v>
      </c>
      <c r="BF52" s="51">
        <f t="shared" si="16"/>
        <v>-16344.25</v>
      </c>
      <c r="BG52" s="51">
        <f t="shared" si="16"/>
        <v>239876.08999999997</v>
      </c>
      <c r="BH52" s="51">
        <f t="shared" si="16"/>
        <v>33052.28</v>
      </c>
      <c r="BK52" s="60"/>
    </row>
    <row r="53" spans="1:63" ht="13.5" hidden="1" thickTop="1">
      <c r="A53" s="15" t="s">
        <v>69</v>
      </c>
      <c r="B53" s="76" t="s">
        <v>74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K53" s="60"/>
    </row>
    <row r="54" spans="1:63" ht="12.75" hidden="1">
      <c r="A54" s="15"/>
      <c r="B54" s="76" t="s">
        <v>73</v>
      </c>
      <c r="C54" s="16">
        <f t="shared" si="12"/>
        <v>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K54" s="60"/>
    </row>
    <row r="55" spans="1:63" ht="12.75" hidden="1">
      <c r="A55" s="15"/>
      <c r="B55" s="76" t="s">
        <v>83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K55" s="60"/>
    </row>
    <row r="56" spans="1:63" ht="12.75" hidden="1">
      <c r="A56" s="15"/>
      <c r="B56" s="76" t="s">
        <v>84</v>
      </c>
      <c r="C56" s="16">
        <f t="shared" si="12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K56" s="60"/>
    </row>
    <row r="57" spans="1:63" ht="12.75" hidden="1">
      <c r="A57" s="15"/>
      <c r="B57" s="76" t="s">
        <v>76</v>
      </c>
      <c r="C57" s="16">
        <f t="shared" si="12"/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K57" s="60"/>
    </row>
    <row r="58" spans="1:63" ht="12.75" hidden="1">
      <c r="A58" s="15"/>
      <c r="B58" s="95" t="s">
        <v>75</v>
      </c>
      <c r="C58" s="16">
        <f t="shared" si="12"/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K58" s="60"/>
    </row>
    <row r="59" spans="1:63" ht="13.5" hidden="1" thickBot="1">
      <c r="A59" s="52"/>
      <c r="B59" s="96" t="s">
        <v>85</v>
      </c>
      <c r="C59" s="53">
        <f t="shared" si="12"/>
        <v>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K59" s="60"/>
    </row>
    <row r="60" ht="13.5" thickTop="1">
      <c r="AW60" s="3"/>
    </row>
    <row r="61" spans="2:60" ht="12.75" hidden="1">
      <c r="B61" s="97" t="s">
        <v>86</v>
      </c>
      <c r="C61" s="62">
        <f aca="true" t="shared" si="17" ref="C61:AH61">SUM(C35:C37)</f>
        <v>2836816.1</v>
      </c>
      <c r="D61" s="62">
        <f t="shared" si="17"/>
        <v>0</v>
      </c>
      <c r="E61" s="62">
        <f t="shared" si="17"/>
        <v>4717.23</v>
      </c>
      <c r="F61" s="62">
        <f t="shared" si="17"/>
        <v>0</v>
      </c>
      <c r="G61" s="62">
        <f t="shared" si="17"/>
        <v>0</v>
      </c>
      <c r="H61" s="62">
        <f t="shared" si="17"/>
        <v>63014</v>
      </c>
      <c r="I61" s="62">
        <f t="shared" si="17"/>
        <v>846613.13</v>
      </c>
      <c r="J61" s="62">
        <f t="shared" si="17"/>
        <v>129658.58</v>
      </c>
      <c r="K61" s="62">
        <f t="shared" si="17"/>
        <v>626491.6</v>
      </c>
      <c r="L61" s="62">
        <f t="shared" si="17"/>
        <v>0</v>
      </c>
      <c r="M61" s="62">
        <f t="shared" si="17"/>
        <v>245496.27</v>
      </c>
      <c r="N61" s="62">
        <f t="shared" si="17"/>
        <v>238745.38</v>
      </c>
      <c r="O61" s="62">
        <f t="shared" si="17"/>
        <v>0</v>
      </c>
      <c r="P61" s="62">
        <f t="shared" si="17"/>
        <v>0</v>
      </c>
      <c r="Q61" s="62">
        <f t="shared" si="17"/>
        <v>0</v>
      </c>
      <c r="R61" s="62">
        <f t="shared" si="17"/>
        <v>0</v>
      </c>
      <c r="S61" s="62">
        <f t="shared" si="17"/>
        <v>0</v>
      </c>
      <c r="T61" s="62">
        <f t="shared" si="17"/>
        <v>0</v>
      </c>
      <c r="U61" s="62">
        <f t="shared" si="17"/>
        <v>0</v>
      </c>
      <c r="V61" s="62">
        <f t="shared" si="17"/>
        <v>0</v>
      </c>
      <c r="W61" s="62">
        <f t="shared" si="17"/>
        <v>0</v>
      </c>
      <c r="X61" s="62">
        <f t="shared" si="17"/>
        <v>73350.37</v>
      </c>
      <c r="Y61" s="62">
        <f t="shared" si="17"/>
        <v>33689.64</v>
      </c>
      <c r="Z61" s="62">
        <f t="shared" si="17"/>
        <v>0</v>
      </c>
      <c r="AA61" s="62">
        <f t="shared" si="17"/>
        <v>10187</v>
      </c>
      <c r="AB61" s="62">
        <f t="shared" si="17"/>
        <v>0</v>
      </c>
      <c r="AC61" s="62">
        <f t="shared" si="17"/>
        <v>0</v>
      </c>
      <c r="AD61" s="62">
        <f t="shared" si="17"/>
        <v>3476.82</v>
      </c>
      <c r="AE61" s="62">
        <f t="shared" si="17"/>
        <v>0</v>
      </c>
      <c r="AF61" s="62">
        <f t="shared" si="17"/>
        <v>0</v>
      </c>
      <c r="AG61" s="62">
        <f t="shared" si="17"/>
        <v>7437</v>
      </c>
      <c r="AH61" s="62">
        <f t="shared" si="17"/>
        <v>0</v>
      </c>
      <c r="AI61" s="62">
        <f aca="true" t="shared" si="18" ref="AI61:BH61">SUM(AI35:AI37)</f>
        <v>0</v>
      </c>
      <c r="AJ61" s="62">
        <f t="shared" si="18"/>
        <v>2258</v>
      </c>
      <c r="AK61" s="62">
        <f t="shared" si="18"/>
        <v>0</v>
      </c>
      <c r="AL61" s="62">
        <f t="shared" si="18"/>
        <v>728</v>
      </c>
      <c r="AM61" s="62">
        <f t="shared" si="18"/>
        <v>0</v>
      </c>
      <c r="AN61" s="62">
        <f t="shared" si="18"/>
        <v>91618.02</v>
      </c>
      <c r="AO61" s="62">
        <f t="shared" si="18"/>
        <v>23.71</v>
      </c>
      <c r="AP61" s="62">
        <f t="shared" si="18"/>
        <v>11467</v>
      </c>
      <c r="AQ61" s="62">
        <f t="shared" si="18"/>
        <v>3208.05</v>
      </c>
      <c r="AR61" s="62">
        <f t="shared" si="18"/>
        <v>7368</v>
      </c>
      <c r="AS61" s="62">
        <f t="shared" si="18"/>
        <v>28557.42</v>
      </c>
      <c r="AT61" s="62">
        <f t="shared" si="18"/>
        <v>26688</v>
      </c>
      <c r="AU61" s="62">
        <f t="shared" si="18"/>
        <v>0</v>
      </c>
      <c r="AV61" s="62">
        <f t="shared" si="18"/>
        <v>20142</v>
      </c>
      <c r="AW61" s="62">
        <f t="shared" si="18"/>
        <v>28790.42</v>
      </c>
      <c r="AX61" s="62">
        <f t="shared" si="18"/>
        <v>0</v>
      </c>
      <c r="AY61" s="62">
        <f t="shared" si="18"/>
        <v>25222</v>
      </c>
      <c r="AZ61" s="62">
        <f t="shared" si="18"/>
        <v>82.94</v>
      </c>
      <c r="BA61" s="62">
        <f t="shared" si="18"/>
        <v>37639.32</v>
      </c>
      <c r="BB61" s="62">
        <f t="shared" si="18"/>
        <v>4086</v>
      </c>
      <c r="BC61" s="62">
        <f t="shared" si="18"/>
        <v>21505.1</v>
      </c>
      <c r="BD61" s="62">
        <f t="shared" si="18"/>
        <v>0</v>
      </c>
      <c r="BE61" s="62">
        <f t="shared" si="18"/>
        <v>95168.85</v>
      </c>
      <c r="BF61" s="62">
        <f t="shared" si="18"/>
        <v>0</v>
      </c>
      <c r="BG61" s="62">
        <f t="shared" si="18"/>
        <v>149386.25</v>
      </c>
      <c r="BH61" s="62">
        <f t="shared" si="18"/>
        <v>0</v>
      </c>
    </row>
    <row r="62" spans="2:60" ht="12.75" hidden="1">
      <c r="B62" s="97" t="s">
        <v>87</v>
      </c>
      <c r="C62" s="62">
        <f aca="true" t="shared" si="19" ref="C62:AH62">SUM(C34,C38,C39)</f>
        <v>4559906.57</v>
      </c>
      <c r="D62" s="62">
        <f t="shared" si="19"/>
        <v>0</v>
      </c>
      <c r="E62" s="62">
        <f t="shared" si="19"/>
        <v>41</v>
      </c>
      <c r="F62" s="62">
        <f t="shared" si="19"/>
        <v>3357</v>
      </c>
      <c r="G62" s="62">
        <f t="shared" si="19"/>
        <v>1266271</v>
      </c>
      <c r="H62" s="62">
        <f t="shared" si="19"/>
        <v>92417.3</v>
      </c>
      <c r="I62" s="62">
        <f t="shared" si="19"/>
        <v>638190.02</v>
      </c>
      <c r="J62" s="62">
        <f t="shared" si="19"/>
        <v>161547.1</v>
      </c>
      <c r="K62" s="62">
        <f t="shared" si="19"/>
        <v>180789.97</v>
      </c>
      <c r="L62" s="62">
        <f t="shared" si="19"/>
        <v>193267.45</v>
      </c>
      <c r="M62" s="62">
        <f t="shared" si="19"/>
        <v>352766.92</v>
      </c>
      <c r="N62" s="62">
        <f t="shared" si="19"/>
        <v>37767.26</v>
      </c>
      <c r="O62" s="62">
        <f t="shared" si="19"/>
        <v>13058.8</v>
      </c>
      <c r="P62" s="62">
        <f t="shared" si="19"/>
        <v>593717.1</v>
      </c>
      <c r="Q62" s="62">
        <f t="shared" si="19"/>
        <v>70331</v>
      </c>
      <c r="R62" s="62">
        <f t="shared" si="19"/>
        <v>0</v>
      </c>
      <c r="S62" s="62">
        <f t="shared" si="19"/>
        <v>79691.05</v>
      </c>
      <c r="T62" s="62">
        <f t="shared" si="19"/>
        <v>48498</v>
      </c>
      <c r="U62" s="62">
        <f t="shared" si="19"/>
        <v>0</v>
      </c>
      <c r="V62" s="62">
        <f t="shared" si="19"/>
        <v>0</v>
      </c>
      <c r="W62" s="62">
        <f t="shared" si="19"/>
        <v>0</v>
      </c>
      <c r="X62" s="62">
        <f t="shared" si="19"/>
        <v>314</v>
      </c>
      <c r="Y62" s="62">
        <f t="shared" si="19"/>
        <v>37286.1</v>
      </c>
      <c r="Z62" s="62">
        <f t="shared" si="19"/>
        <v>0</v>
      </c>
      <c r="AA62" s="62">
        <f t="shared" si="19"/>
        <v>0</v>
      </c>
      <c r="AB62" s="62">
        <f t="shared" si="19"/>
        <v>0</v>
      </c>
      <c r="AC62" s="62">
        <f t="shared" si="19"/>
        <v>0</v>
      </c>
      <c r="AD62" s="62">
        <f t="shared" si="19"/>
        <v>0</v>
      </c>
      <c r="AE62" s="62">
        <f t="shared" si="19"/>
        <v>0</v>
      </c>
      <c r="AF62" s="62">
        <f t="shared" si="19"/>
        <v>0</v>
      </c>
      <c r="AG62" s="62">
        <f t="shared" si="19"/>
        <v>0</v>
      </c>
      <c r="AH62" s="62">
        <f t="shared" si="19"/>
        <v>0</v>
      </c>
      <c r="AI62" s="62">
        <f aca="true" t="shared" si="20" ref="AI62:BH62">SUM(AI34,AI38,AI39)</f>
        <v>0</v>
      </c>
      <c r="AJ62" s="62">
        <f t="shared" si="20"/>
        <v>0</v>
      </c>
      <c r="AK62" s="62">
        <f t="shared" si="20"/>
        <v>0</v>
      </c>
      <c r="AL62" s="62">
        <f t="shared" si="20"/>
        <v>0</v>
      </c>
      <c r="AM62" s="62">
        <f t="shared" si="20"/>
        <v>0</v>
      </c>
      <c r="AN62" s="62">
        <f t="shared" si="20"/>
        <v>0</v>
      </c>
      <c r="AO62" s="62">
        <f t="shared" si="20"/>
        <v>790562.5</v>
      </c>
      <c r="AP62" s="62">
        <f t="shared" si="20"/>
        <v>0</v>
      </c>
      <c r="AQ62" s="62">
        <f t="shared" si="20"/>
        <v>0</v>
      </c>
      <c r="AR62" s="62">
        <f t="shared" si="20"/>
        <v>0</v>
      </c>
      <c r="AS62" s="62">
        <f t="shared" si="20"/>
        <v>0</v>
      </c>
      <c r="AT62" s="62">
        <f t="shared" si="20"/>
        <v>0</v>
      </c>
      <c r="AU62" s="62">
        <f t="shared" si="20"/>
        <v>0</v>
      </c>
      <c r="AV62" s="62">
        <f t="shared" si="20"/>
        <v>0</v>
      </c>
      <c r="AW62" s="62">
        <f t="shared" si="20"/>
        <v>0</v>
      </c>
      <c r="AX62" s="62">
        <f t="shared" si="20"/>
        <v>0</v>
      </c>
      <c r="AY62" s="62">
        <f t="shared" si="20"/>
        <v>0</v>
      </c>
      <c r="AZ62" s="62">
        <f t="shared" si="20"/>
        <v>0</v>
      </c>
      <c r="BA62" s="62">
        <f t="shared" si="20"/>
        <v>0</v>
      </c>
      <c r="BB62" s="62">
        <f t="shared" si="20"/>
        <v>0</v>
      </c>
      <c r="BC62" s="62">
        <f t="shared" si="20"/>
        <v>0</v>
      </c>
      <c r="BD62" s="62">
        <f t="shared" si="20"/>
        <v>33</v>
      </c>
      <c r="BE62" s="62">
        <f t="shared" si="20"/>
        <v>0</v>
      </c>
      <c r="BF62" s="62">
        <f t="shared" si="20"/>
        <v>0</v>
      </c>
      <c r="BG62" s="62">
        <f t="shared" si="20"/>
        <v>0</v>
      </c>
      <c r="BH62" s="62">
        <f t="shared" si="20"/>
        <v>0</v>
      </c>
    </row>
    <row r="63" ht="12.75" hidden="1">
      <c r="C63" s="62"/>
    </row>
    <row r="64" ht="12.75" hidden="1"/>
    <row r="65" spans="2:60" s="62" customFormat="1" ht="12.75" hidden="1">
      <c r="B65" s="97" t="s">
        <v>110</v>
      </c>
      <c r="C65" s="62">
        <f aca="true" t="shared" si="21" ref="C65:AH65">SUM(C14-C32)</f>
        <v>2756193.240000003</v>
      </c>
      <c r="D65" s="62">
        <f t="shared" si="21"/>
        <v>0</v>
      </c>
      <c r="E65" s="62">
        <f t="shared" si="21"/>
        <v>-4758.23</v>
      </c>
      <c r="F65" s="62">
        <f t="shared" si="21"/>
        <v>2693259.0700000003</v>
      </c>
      <c r="G65" s="62">
        <f t="shared" si="21"/>
        <v>-649402.64</v>
      </c>
      <c r="H65" s="62">
        <f t="shared" si="21"/>
        <v>-155431.3</v>
      </c>
      <c r="I65" s="62">
        <f t="shared" si="21"/>
        <v>-1484803.15</v>
      </c>
      <c r="J65" s="62">
        <f t="shared" si="21"/>
        <v>-291205.68</v>
      </c>
      <c r="K65" s="62">
        <f t="shared" si="21"/>
        <v>-807281.57</v>
      </c>
      <c r="L65" s="62">
        <f t="shared" si="21"/>
        <v>2362600.2699999996</v>
      </c>
      <c r="M65" s="62">
        <f t="shared" si="21"/>
        <v>101889.90000000002</v>
      </c>
      <c r="N65" s="62">
        <f t="shared" si="21"/>
        <v>-268503.64</v>
      </c>
      <c r="O65" s="62">
        <f t="shared" si="21"/>
        <v>341142.03</v>
      </c>
      <c r="P65" s="62">
        <f t="shared" si="21"/>
        <v>46028.70000000007</v>
      </c>
      <c r="Q65" s="62">
        <f t="shared" si="21"/>
        <v>1011297.03</v>
      </c>
      <c r="R65" s="62">
        <f t="shared" si="21"/>
        <v>314080.47</v>
      </c>
      <c r="S65" s="62">
        <f t="shared" si="21"/>
        <v>50214.15999999999</v>
      </c>
      <c r="T65" s="62">
        <f t="shared" si="21"/>
        <v>190832.71</v>
      </c>
      <c r="U65" s="62">
        <f t="shared" si="21"/>
        <v>56656</v>
      </c>
      <c r="V65" s="62">
        <f t="shared" si="21"/>
        <v>169636.66999999998</v>
      </c>
      <c r="W65" s="62">
        <f t="shared" si="21"/>
        <v>241919</v>
      </c>
      <c r="X65" s="62">
        <f t="shared" si="21"/>
        <v>-73664.37</v>
      </c>
      <c r="Y65" s="62">
        <f t="shared" si="21"/>
        <v>-70975.73999999999</v>
      </c>
      <c r="Z65" s="62">
        <f t="shared" si="21"/>
        <v>16489</v>
      </c>
      <c r="AA65" s="62">
        <f t="shared" si="21"/>
        <v>-10187</v>
      </c>
      <c r="AB65" s="62">
        <f t="shared" si="21"/>
        <v>0</v>
      </c>
      <c r="AC65" s="62">
        <f t="shared" si="21"/>
        <v>0</v>
      </c>
      <c r="AD65" s="62">
        <f t="shared" si="21"/>
        <v>-3476.82</v>
      </c>
      <c r="AE65" s="62">
        <f t="shared" si="21"/>
        <v>8807.5</v>
      </c>
      <c r="AF65" s="62">
        <f t="shared" si="21"/>
        <v>0</v>
      </c>
      <c r="AG65" s="62">
        <f t="shared" si="21"/>
        <v>-7437</v>
      </c>
      <c r="AH65" s="62">
        <f t="shared" si="21"/>
        <v>31190</v>
      </c>
      <c r="AI65" s="62">
        <f aca="true" t="shared" si="22" ref="AI65:BH65">SUM(AI14-AI32)</f>
        <v>0</v>
      </c>
      <c r="AJ65" s="62">
        <f t="shared" si="22"/>
        <v>2275</v>
      </c>
      <c r="AK65" s="62">
        <f t="shared" si="22"/>
        <v>0</v>
      </c>
      <c r="AL65" s="62">
        <f t="shared" si="22"/>
        <v>-190</v>
      </c>
      <c r="AM65" s="62">
        <f t="shared" si="22"/>
        <v>0</v>
      </c>
      <c r="AN65" s="62">
        <f t="shared" si="22"/>
        <v>-91618.02</v>
      </c>
      <c r="AO65" s="62">
        <f t="shared" si="22"/>
        <v>-790586.21</v>
      </c>
      <c r="AP65" s="62">
        <f t="shared" si="22"/>
        <v>-11467</v>
      </c>
      <c r="AQ65" s="62">
        <f t="shared" si="22"/>
        <v>-3208.05</v>
      </c>
      <c r="AR65" s="62">
        <f t="shared" si="22"/>
        <v>-7368</v>
      </c>
      <c r="AS65" s="62">
        <f t="shared" si="22"/>
        <v>-28557.42</v>
      </c>
      <c r="AT65" s="62">
        <f t="shared" si="22"/>
        <v>-26688</v>
      </c>
      <c r="AU65" s="62">
        <f t="shared" si="22"/>
        <v>119754.76999999999</v>
      </c>
      <c r="AV65" s="62">
        <f t="shared" si="22"/>
        <v>-20142</v>
      </c>
      <c r="AW65" s="62">
        <f t="shared" si="22"/>
        <v>-28790.42</v>
      </c>
      <c r="AX65" s="62">
        <f t="shared" si="22"/>
        <v>11497</v>
      </c>
      <c r="AY65" s="62">
        <f t="shared" si="22"/>
        <v>-25222</v>
      </c>
      <c r="AZ65" s="62">
        <f t="shared" si="22"/>
        <v>11708.46</v>
      </c>
      <c r="BA65" s="62">
        <f t="shared" si="22"/>
        <v>-37639.32</v>
      </c>
      <c r="BB65" s="62">
        <f t="shared" si="22"/>
        <v>-4086</v>
      </c>
      <c r="BC65" s="62">
        <f t="shared" si="22"/>
        <v>-21505.1</v>
      </c>
      <c r="BD65" s="62">
        <f t="shared" si="22"/>
        <v>56957.5</v>
      </c>
      <c r="BE65" s="62">
        <f t="shared" si="22"/>
        <v>-95168.85</v>
      </c>
      <c r="BF65" s="62">
        <f t="shared" si="22"/>
        <v>29308.5</v>
      </c>
      <c r="BG65" s="62">
        <f t="shared" si="22"/>
        <v>-149386.25</v>
      </c>
      <c r="BH65" s="62">
        <f t="shared" si="22"/>
        <v>57399.28</v>
      </c>
    </row>
    <row r="66" spans="2:60" s="62" customFormat="1" ht="12.75" hidden="1">
      <c r="B66" s="97" t="s">
        <v>111</v>
      </c>
      <c r="C66" s="62">
        <f aca="true" t="shared" si="23" ref="C66:AH66">SUM(C19-C41)</f>
        <v>-174853332.55999994</v>
      </c>
      <c r="D66" s="62">
        <f t="shared" si="23"/>
        <v>-911760.6699999996</v>
      </c>
      <c r="E66" s="62">
        <f t="shared" si="23"/>
        <v>-601444.0900000001</v>
      </c>
      <c r="F66" s="62">
        <f t="shared" si="23"/>
        <v>205176.10000000003</v>
      </c>
      <c r="G66" s="62">
        <f t="shared" si="23"/>
        <v>-5407861.160000002</v>
      </c>
      <c r="H66" s="62">
        <f t="shared" si="23"/>
        <v>-10508974.720000003</v>
      </c>
      <c r="I66" s="62">
        <f t="shared" si="23"/>
        <v>-405239.01999999565</v>
      </c>
      <c r="J66" s="62">
        <f t="shared" si="23"/>
        <v>-10233302.25</v>
      </c>
      <c r="K66" s="62">
        <f t="shared" si="23"/>
        <v>-69330891.63</v>
      </c>
      <c r="L66" s="62">
        <f t="shared" si="23"/>
        <v>-171911.73000000045</v>
      </c>
      <c r="M66" s="62">
        <f t="shared" si="23"/>
        <v>1187230.6300000013</v>
      </c>
      <c r="N66" s="62">
        <f t="shared" si="23"/>
        <v>-491407.57</v>
      </c>
      <c r="O66" s="62">
        <f t="shared" si="23"/>
        <v>-4902046.890000004</v>
      </c>
      <c r="P66" s="62">
        <f t="shared" si="23"/>
        <v>-175092.38000000225</v>
      </c>
      <c r="Q66" s="62">
        <f t="shared" si="23"/>
        <v>851551.95</v>
      </c>
      <c r="R66" s="62">
        <f t="shared" si="23"/>
        <v>-133910.6000000015</v>
      </c>
      <c r="S66" s="62">
        <f t="shared" si="23"/>
        <v>-143584.2599999979</v>
      </c>
      <c r="T66" s="62">
        <f t="shared" si="23"/>
        <v>-119780</v>
      </c>
      <c r="U66" s="62">
        <f t="shared" si="23"/>
        <v>-177774.86</v>
      </c>
      <c r="V66" s="62">
        <f t="shared" si="23"/>
        <v>-59821.5</v>
      </c>
      <c r="W66" s="62">
        <f t="shared" si="23"/>
        <v>197072.9400000011</v>
      </c>
      <c r="X66" s="62">
        <f t="shared" si="23"/>
        <v>-114536.69000000022</v>
      </c>
      <c r="Y66" s="62">
        <f t="shared" si="23"/>
        <v>-45492130.9</v>
      </c>
      <c r="Z66" s="62">
        <f t="shared" si="23"/>
        <v>-6198.75</v>
      </c>
      <c r="AA66" s="62">
        <f t="shared" si="23"/>
        <v>0</v>
      </c>
      <c r="AB66" s="62">
        <f t="shared" si="23"/>
        <v>-3080013.3600000003</v>
      </c>
      <c r="AC66" s="62">
        <f t="shared" si="23"/>
        <v>-805760.75</v>
      </c>
      <c r="AD66" s="62">
        <f t="shared" si="23"/>
        <v>680</v>
      </c>
      <c r="AE66" s="62">
        <f t="shared" si="23"/>
        <v>-2050.25</v>
      </c>
      <c r="AF66" s="62">
        <f t="shared" si="23"/>
        <v>-116253</v>
      </c>
      <c r="AG66" s="62">
        <f t="shared" si="23"/>
        <v>48</v>
      </c>
      <c r="AH66" s="62">
        <f t="shared" si="23"/>
        <v>-215.25</v>
      </c>
      <c r="AI66" s="62">
        <f aca="true" t="shared" si="24" ref="AI66:BH66">SUM(AI19-AI41)</f>
        <v>-8415.600000000186</v>
      </c>
      <c r="AJ66" s="62">
        <f t="shared" si="24"/>
        <v>-9940</v>
      </c>
      <c r="AK66" s="62">
        <f t="shared" si="24"/>
        <v>168336.1</v>
      </c>
      <c r="AL66" s="62">
        <f t="shared" si="24"/>
        <v>-582600</v>
      </c>
      <c r="AM66" s="62">
        <f t="shared" si="24"/>
        <v>0</v>
      </c>
      <c r="AN66" s="62">
        <f t="shared" si="24"/>
        <v>-6060</v>
      </c>
      <c r="AO66" s="62">
        <f t="shared" si="24"/>
        <v>-1935417.8199999998</v>
      </c>
      <c r="AP66" s="62">
        <f t="shared" si="24"/>
        <v>-1277.25</v>
      </c>
      <c r="AQ66" s="62">
        <f t="shared" si="24"/>
        <v>0</v>
      </c>
      <c r="AR66" s="62">
        <f t="shared" si="24"/>
        <v>-13546.61</v>
      </c>
      <c r="AS66" s="62">
        <f t="shared" si="24"/>
        <v>-12942.139999999665</v>
      </c>
      <c r="AT66" s="62">
        <f t="shared" si="24"/>
        <v>-19031</v>
      </c>
      <c r="AU66" s="62">
        <f t="shared" si="24"/>
        <v>-25384.5</v>
      </c>
      <c r="AV66" s="62">
        <f t="shared" si="24"/>
        <v>-21023855.4</v>
      </c>
      <c r="AW66" s="62">
        <f t="shared" si="24"/>
        <v>9985</v>
      </c>
      <c r="AX66" s="62">
        <f t="shared" si="24"/>
        <v>-175142.34</v>
      </c>
      <c r="AY66" s="62">
        <f t="shared" si="24"/>
        <v>302733.4699999999</v>
      </c>
      <c r="AZ66" s="62">
        <f t="shared" si="24"/>
        <v>195632.76000000103</v>
      </c>
      <c r="BA66" s="62">
        <f t="shared" si="24"/>
        <v>-9839.75</v>
      </c>
      <c r="BB66" s="62">
        <f t="shared" si="24"/>
        <v>-665</v>
      </c>
      <c r="BC66" s="62">
        <f t="shared" si="24"/>
        <v>-75654.70000000112</v>
      </c>
      <c r="BD66" s="62">
        <f t="shared" si="24"/>
        <v>-987178.9100000001</v>
      </c>
      <c r="BE66" s="62">
        <f t="shared" si="24"/>
        <v>-12128.8</v>
      </c>
      <c r="BF66" s="62">
        <f t="shared" si="24"/>
        <v>-45652.75</v>
      </c>
      <c r="BG66" s="62">
        <f t="shared" si="24"/>
        <v>389262.33999999997</v>
      </c>
      <c r="BH66" s="62">
        <f t="shared" si="24"/>
        <v>-24347</v>
      </c>
    </row>
    <row r="67" ht="12.75" hidden="1"/>
    <row r="68" ht="12.75" hidden="1"/>
    <row r="69" spans="2:60" s="62" customFormat="1" ht="12.75" hidden="1">
      <c r="B69" s="97"/>
      <c r="C69" s="62">
        <f>SUM(C65:C66)</f>
        <v>-172097139.31999993</v>
      </c>
      <c r="D69" s="62">
        <f aca="true" t="shared" si="25" ref="D69:BH69">SUM(D65:D66)</f>
        <v>-911760.6699999996</v>
      </c>
      <c r="E69" s="62">
        <f t="shared" si="25"/>
        <v>-606202.3200000001</v>
      </c>
      <c r="F69" s="62">
        <f t="shared" si="25"/>
        <v>2898435.1700000004</v>
      </c>
      <c r="G69" s="62">
        <f t="shared" si="25"/>
        <v>-6057263.800000002</v>
      </c>
      <c r="H69" s="62">
        <f t="shared" si="25"/>
        <v>-10664406.020000003</v>
      </c>
      <c r="I69" s="62">
        <f t="shared" si="25"/>
        <v>-1890042.1699999955</v>
      </c>
      <c r="J69" s="62">
        <f t="shared" si="25"/>
        <v>-10524507.93</v>
      </c>
      <c r="K69" s="62">
        <f t="shared" si="25"/>
        <v>-70138173.19999999</v>
      </c>
      <c r="L69" s="62">
        <f t="shared" si="25"/>
        <v>2190688.539999999</v>
      </c>
      <c r="M69" s="62">
        <f t="shared" si="25"/>
        <v>1289120.5300000012</v>
      </c>
      <c r="N69" s="62">
        <f t="shared" si="25"/>
        <v>-759911.21</v>
      </c>
      <c r="O69" s="62">
        <f t="shared" si="25"/>
        <v>-4560904.860000004</v>
      </c>
      <c r="P69" s="62">
        <f t="shared" si="25"/>
        <v>-129063.68000000218</v>
      </c>
      <c r="Q69" s="62">
        <f t="shared" si="25"/>
        <v>1862848.98</v>
      </c>
      <c r="R69" s="62">
        <f t="shared" si="25"/>
        <v>180169.86999999848</v>
      </c>
      <c r="S69" s="62">
        <f t="shared" si="25"/>
        <v>-93370.09999999792</v>
      </c>
      <c r="T69" s="62">
        <f t="shared" si="25"/>
        <v>71052.70999999999</v>
      </c>
      <c r="U69" s="62">
        <f t="shared" si="25"/>
        <v>-121118.85999999999</v>
      </c>
      <c r="V69" s="62">
        <f t="shared" si="25"/>
        <v>109815.16999999998</v>
      </c>
      <c r="W69" s="62">
        <f t="shared" si="25"/>
        <v>438991.9400000011</v>
      </c>
      <c r="X69" s="62">
        <f t="shared" si="25"/>
        <v>-188201.06000000023</v>
      </c>
      <c r="Y69" s="62">
        <f t="shared" si="25"/>
        <v>-45563106.64</v>
      </c>
      <c r="Z69" s="62">
        <f t="shared" si="25"/>
        <v>10290.25</v>
      </c>
      <c r="AA69" s="62">
        <f t="shared" si="25"/>
        <v>-10187</v>
      </c>
      <c r="AB69" s="62">
        <f t="shared" si="25"/>
        <v>-3080013.3600000003</v>
      </c>
      <c r="AC69" s="62">
        <f t="shared" si="25"/>
        <v>-805760.75</v>
      </c>
      <c r="AD69" s="62">
        <f t="shared" si="25"/>
        <v>-2796.82</v>
      </c>
      <c r="AE69" s="62">
        <f t="shared" si="25"/>
        <v>6757.25</v>
      </c>
      <c r="AF69" s="62">
        <f t="shared" si="25"/>
        <v>-116253</v>
      </c>
      <c r="AG69" s="62">
        <f t="shared" si="25"/>
        <v>-7389</v>
      </c>
      <c r="AH69" s="62">
        <f t="shared" si="25"/>
        <v>30974.75</v>
      </c>
      <c r="AI69" s="62">
        <f t="shared" si="25"/>
        <v>-8415.600000000186</v>
      </c>
      <c r="AJ69" s="62">
        <f t="shared" si="25"/>
        <v>-7665</v>
      </c>
      <c r="AK69" s="62">
        <f t="shared" si="25"/>
        <v>168336.1</v>
      </c>
      <c r="AL69" s="62">
        <f t="shared" si="25"/>
        <v>-582790</v>
      </c>
      <c r="AM69" s="62">
        <f t="shared" si="25"/>
        <v>0</v>
      </c>
      <c r="AN69" s="62">
        <f t="shared" si="25"/>
        <v>-97678.02</v>
      </c>
      <c r="AO69" s="62">
        <f t="shared" si="25"/>
        <v>-2726004.03</v>
      </c>
      <c r="AP69" s="62">
        <f t="shared" si="25"/>
        <v>-12744.25</v>
      </c>
      <c r="AQ69" s="62">
        <f t="shared" si="25"/>
        <v>-3208.05</v>
      </c>
      <c r="AR69" s="62">
        <f t="shared" si="25"/>
        <v>-20914.61</v>
      </c>
      <c r="AS69" s="62">
        <f t="shared" si="25"/>
        <v>-41499.55999999966</v>
      </c>
      <c r="AT69" s="62">
        <f t="shared" si="25"/>
        <v>-45719</v>
      </c>
      <c r="AU69" s="62">
        <f t="shared" si="25"/>
        <v>94370.26999999999</v>
      </c>
      <c r="AV69" s="62">
        <f t="shared" si="25"/>
        <v>-21043997.4</v>
      </c>
      <c r="AW69" s="62">
        <f t="shared" si="25"/>
        <v>-18805.42</v>
      </c>
      <c r="AX69" s="62">
        <f t="shared" si="25"/>
        <v>-163645.34</v>
      </c>
      <c r="AY69" s="62">
        <f t="shared" si="25"/>
        <v>277511.4699999999</v>
      </c>
      <c r="AZ69" s="62">
        <f t="shared" si="25"/>
        <v>207341.22000000102</v>
      </c>
      <c r="BA69" s="62">
        <f t="shared" si="25"/>
        <v>-47479.07</v>
      </c>
      <c r="BB69" s="62">
        <f t="shared" si="25"/>
        <v>-4751</v>
      </c>
      <c r="BC69" s="62">
        <f t="shared" si="25"/>
        <v>-97159.80000000112</v>
      </c>
      <c r="BD69" s="62">
        <f t="shared" si="25"/>
        <v>-930221.4100000001</v>
      </c>
      <c r="BE69" s="62">
        <f t="shared" si="25"/>
        <v>-107297.65000000001</v>
      </c>
      <c r="BF69" s="62">
        <f t="shared" si="25"/>
        <v>-16344.25</v>
      </c>
      <c r="BG69" s="62">
        <f t="shared" si="25"/>
        <v>239876.08999999997</v>
      </c>
      <c r="BH69" s="62">
        <f t="shared" si="25"/>
        <v>33052.28</v>
      </c>
    </row>
    <row r="70" ht="12.75" hidden="1"/>
    <row r="72" spans="3:5" ht="12.75">
      <c r="C72" s="62"/>
      <c r="D72" s="62"/>
      <c r="E72" s="62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 zastupitelstva MHMP (MHMP)</cp:lastModifiedBy>
  <cp:lastPrinted>2019-04-03T12:20:12Z</cp:lastPrinted>
  <dcterms:created xsi:type="dcterms:W3CDTF">2006-01-13T12:10:48Z</dcterms:created>
  <dcterms:modified xsi:type="dcterms:W3CDTF">2019-06-20T21:45:20Z</dcterms:modified>
  <cp:category/>
  <cp:version/>
  <cp:contentType/>
  <cp:contentStatus/>
</cp:coreProperties>
</file>