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1100" windowHeight="6045" activeTab="0"/>
  </bookViews>
  <sheets>
    <sheet name="MČ 1-57" sheetId="1" r:id="rId1"/>
    <sheet name="List5" sheetId="2" r:id="rId2"/>
    <sheet name="List6" sheetId="3" r:id="rId3"/>
    <sheet name="List7" sheetId="4" r:id="rId4"/>
    <sheet name="List8" sheetId="5" r:id="rId5"/>
    <sheet name="List9" sheetId="6" r:id="rId6"/>
    <sheet name="List10" sheetId="7" r:id="rId7"/>
  </sheets>
  <definedNames>
    <definedName name="_xlnm.Print_Titles" localSheetId="0">'MČ 1-57'!$A:$B</definedName>
    <definedName name="_xlnm.Print_Area" localSheetId="0">'MČ 1-57'!$A$1:$BI$81</definedName>
  </definedNames>
  <calcPr fullCalcOnLoad="1"/>
</workbook>
</file>

<file path=xl/sharedStrings.xml><?xml version="1.0" encoding="utf-8"?>
<sst xmlns="http://schemas.openxmlformats.org/spreadsheetml/2006/main" count="131" uniqueCount="124">
  <si>
    <t>Poř.</t>
  </si>
  <si>
    <t>Název finanční operace</t>
  </si>
  <si>
    <t>č.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</si>
  <si>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</si>
  <si>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</si>
  <si>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</si>
  <si>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</si>
  <si>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</si>
  <si>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</si>
  <si>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</si>
  <si>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</si>
  <si>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</si>
  <si>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</si>
  <si>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</si>
  <si>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</si>
  <si>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</si>
  <si>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</si>
  <si>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</si>
  <si>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</si>
  <si>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</si>
  <si>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</si>
  <si>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</si>
  <si>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</si>
  <si>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</si>
  <si>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</si>
  <si>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</si>
  <si>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</si>
  <si>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</si>
  <si>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</si>
  <si>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</si>
  <si>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 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</si>
  <si>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</si>
  <si>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</si>
  <si>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</si>
  <si>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</si>
  <si>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</si>
  <si>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</si>
  <si>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</si>
  <si>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</si>
  <si>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</si>
  <si>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</si>
  <si>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</si>
  <si>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</si>
  <si>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</si>
  <si>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</si>
  <si>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</si>
  <si>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</si>
  <si>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</si>
  <si>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</si>
  <si>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</si>
  <si>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</si>
  <si>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</si>
  <si>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</si>
  <si>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</si>
  <si>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</si>
  <si>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</si>
  <si>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 Chuchle</t>
  </si>
  <si>
    <t>Vinoř</t>
  </si>
  <si>
    <t>Zbraslav</t>
  </si>
  <si>
    <t>Zličín</t>
  </si>
  <si>
    <t>A: ZDROJE z finančního vypořádání</t>
  </si>
  <si>
    <t>3.</t>
  </si>
  <si>
    <t>4.</t>
  </si>
  <si>
    <t>Dorovnání z rozpočtu HMP celkem</t>
  </si>
  <si>
    <t>5.</t>
  </si>
  <si>
    <t>B: POTŘEBY finančního vypořádání</t>
  </si>
  <si>
    <t>6.</t>
  </si>
  <si>
    <t>Odvody do SR  c e l k e m</t>
  </si>
  <si>
    <t>7.</t>
  </si>
  <si>
    <t>10.</t>
  </si>
  <si>
    <t xml:space="preserve">         PŘEHLED FINANČNÍHO VYPOŘÁDÁNÍ            </t>
  </si>
  <si>
    <t>MČ celkem</t>
  </si>
  <si>
    <t>v Kč</t>
  </si>
  <si>
    <t>a/ vůči SR</t>
  </si>
  <si>
    <t>Ostatní závazky:</t>
  </si>
  <si>
    <t>c/ vůči státním fondům</t>
  </si>
  <si>
    <t xml:space="preserve">           - ostatní</t>
  </si>
  <si>
    <t>doplatky místních poplatků</t>
  </si>
  <si>
    <t>vratky ostat.účel.prostř. MF ČR-kap.VPS</t>
  </si>
  <si>
    <t>Dorovnání dotací ze SR  c e l k e m</t>
  </si>
  <si>
    <t>Odvody do rozpočtu HMP   c e l k e m</t>
  </si>
  <si>
    <t>b/ vůči rozpočtu HMP</t>
  </si>
  <si>
    <t>z toho: - z půjčky z FOMBF HMP</t>
  </si>
  <si>
    <t>d/ vůči jiným MČ HMP</t>
  </si>
  <si>
    <t>Celkem odvod na MF</t>
  </si>
  <si>
    <t>Odvod rezorty a st. fondy</t>
  </si>
  <si>
    <t xml:space="preserve">z toho: </t>
  </si>
  <si>
    <t xml:space="preserve">            přeplatky místních poplatků</t>
  </si>
  <si>
    <t>výkon pěstounské péče  ÚZ 13010</t>
  </si>
  <si>
    <t>ostatní doplatky</t>
  </si>
  <si>
    <t>ostatní vratky</t>
  </si>
  <si>
    <t>1.</t>
  </si>
  <si>
    <t>2.</t>
  </si>
  <si>
    <t>Úhrn potřeb (ř.4 a ř.5)</t>
  </si>
  <si>
    <t>Úhrn zdrojů fin. vypořádání   (ř.1 a ř.2)</t>
  </si>
  <si>
    <t>Saldo FV (ř.3 - ř.6)</t>
  </si>
  <si>
    <t>Saldo státních prostředků (ř.1 - ř.4)</t>
  </si>
  <si>
    <t>Saldo prostředků MHMP (ř. 2 - ř.5)</t>
  </si>
  <si>
    <t>ZA ROK 2019 S MČ HL. M. PRAHY</t>
  </si>
  <si>
    <t>doplňovací volby do Senátu PČR  ÚZ 98071</t>
  </si>
  <si>
    <t>volby do EP  ÚZ 98348</t>
  </si>
  <si>
    <t>konání nových voleb do ZMČ Praha Nedvězí ÚZ 98074</t>
  </si>
  <si>
    <t>dot.pro obce s působ.st.úřadu - SLDB 2021 ÚZ 98018</t>
  </si>
  <si>
    <t>zkoušky zvláštní odborné způsobilosti ÚZ 81</t>
  </si>
  <si>
    <t xml:space="preserve">vratka nedočerp.dotace poskytnuté městskou částí hl.m. Praze-neinvestiční  ÚZ 79                                                                                                                                              </t>
  </si>
  <si>
    <t xml:space="preserve">vratka nedočerp.dotace poskytnuté městskou částí hl.m. Praze-investiční  ÚZ 79                                                                                                                                             </t>
  </si>
  <si>
    <t>participativní rozpočty - neinvestiční výdaje  ÚZ 109</t>
  </si>
  <si>
    <t>participativní rozpočty - investiční výdaje  ÚZ 119</t>
  </si>
  <si>
    <t>sociálněprávní ochrana dětí  ÚZ 13011</t>
  </si>
  <si>
    <t>projekty OP VVV, MAP  ÚZ 33063</t>
  </si>
  <si>
    <t>ostatní vratky účel.prostř. rezort. min./st.fondům neinv.</t>
  </si>
  <si>
    <t>ostatní vratky účel.prostř. rezort. min./st.fondům inv.</t>
  </si>
  <si>
    <t xml:space="preserve">         vratky účel. prostř. r. 2019 investiční  ÚZ 84</t>
  </si>
  <si>
    <t xml:space="preserve">         vratky účel. prostř. r. 2019 investiční granty ÚZ 116</t>
  </si>
  <si>
    <t xml:space="preserve">         vratky účel. prostř. r. 2019 investiční FRDB  ÚZ 12</t>
  </si>
  <si>
    <t xml:space="preserve">         vratky účel. prostř. r. 2019  neinvestiční  ÚZ 81</t>
  </si>
  <si>
    <t xml:space="preserve">         vratky účel. prostř. r. 2019  neinv. mzd.pr.školy  ÚZ 96</t>
  </si>
  <si>
    <t xml:space="preserve">         vratky účel. prostř. r. 2019  neinv.výuka ČJ  ÚZ 108</t>
  </si>
  <si>
    <t xml:space="preserve">         vratky účel. prostř. r. 2019  neinvestiční granty  ÚZ 115</t>
  </si>
  <si>
    <r>
      <t xml:space="preserve">vratky účel. prostř.r.2018 </t>
    </r>
    <r>
      <rPr>
        <sz val="8"/>
        <rFont val="Arial CE"/>
        <family val="0"/>
      </rPr>
      <t>(popř.předchozích let) inv. ÚZ 90</t>
    </r>
  </si>
  <si>
    <r>
      <t xml:space="preserve">vratky účel. prostř.r.2018 </t>
    </r>
    <r>
      <rPr>
        <sz val="8"/>
        <rFont val="Arial CE"/>
        <family val="0"/>
      </rPr>
      <t>(popř.předchozích let) neinv. ÚZ 118</t>
    </r>
  </si>
  <si>
    <t>vratky účel.prostř. r. 2017 a 2018 u nichž je vyúčtování stanoveno na r. 2019 (inv.granty) ÚZ 116</t>
  </si>
  <si>
    <t>vratky účel.prostř. r. 2017 a 2018 u nichž je vyúčtování stanoveno na r. 2019 (neinv.granty) ÚZ 115</t>
  </si>
  <si>
    <t>Příloha č. 7 k usnesení Zastupitelstva HMP č. 18/70 ze dne 2. 7.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</si>
</sst>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2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1" fillId="0" borderId="17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6" xfId="0" applyFont="1" applyBorder="1" applyAlignment="1">
      <alignment horizontal="left"/>
    </xf>
    <xf numFmtId="4" fontId="1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0" fontId="1" fillId="0" borderId="20" xfId="0" applyFont="1" applyBorder="1" applyAlignment="1">
      <alignment horizontal="left"/>
    </xf>
    <xf numFmtId="4" fontId="1" fillId="0" borderId="21" xfId="0" applyNumberFormat="1" applyFont="1" applyBorder="1" applyAlignment="1">
      <alignment/>
    </xf>
    <xf numFmtId="0" fontId="0" fillId="0" borderId="20" xfId="0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0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0" xfId="0" applyBorder="1" applyAlignment="1">
      <alignment wrapText="1"/>
    </xf>
    <xf numFmtId="4" fontId="0" fillId="0" borderId="21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0" fontId="0" fillId="0" borderId="0" xfId="0" applyAlignment="1">
      <alignment wrapText="1"/>
    </xf>
    <xf numFmtId="49" fontId="3" fillId="0" borderId="16" xfId="0" applyNumberFormat="1" applyFont="1" applyBorder="1" applyAlignment="1">
      <alignment horizontal="left" indent="3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 indent="3"/>
    </xf>
    <xf numFmtId="49" fontId="1" fillId="0" borderId="16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 indent="3"/>
    </xf>
    <xf numFmtId="49" fontId="3" fillId="0" borderId="16" xfId="0" applyNumberFormat="1" applyFont="1" applyBorder="1" applyAlignment="1">
      <alignment horizontal="left" wrapText="1" indent="3"/>
    </xf>
    <xf numFmtId="49" fontId="3" fillId="0" borderId="16" xfId="0" applyNumberFormat="1" applyFont="1" applyFill="1" applyBorder="1" applyAlignment="1">
      <alignment horizontal="left" wrapText="1" indent="3"/>
    </xf>
    <xf numFmtId="49" fontId="0" fillId="0" borderId="16" xfId="0" applyNumberForma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horizontal="left" indent="3"/>
    </xf>
    <xf numFmtId="49" fontId="2" fillId="0" borderId="22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49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4" fontId="1" fillId="0" borderId="0" xfId="0" applyNumberFormat="1" applyFont="1" applyFill="1" applyBorder="1" applyAlignment="1">
      <alignment wrapText="1"/>
    </xf>
    <xf numFmtId="49" fontId="0" fillId="0" borderId="14" xfId="0" applyNumberFormat="1" applyFill="1" applyBorder="1" applyAlignment="1">
      <alignment horizontal="left" wrapText="1" indent="3"/>
    </xf>
    <xf numFmtId="49" fontId="1" fillId="0" borderId="14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zoomScalePageLayoutView="0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2.75"/>
  <cols>
    <col min="1" max="1" width="4.00390625" style="0" customWidth="1"/>
    <col min="2" max="2" width="54.25390625" style="94" customWidth="1"/>
    <col min="3" max="3" width="17.125" style="3" customWidth="1"/>
    <col min="4" max="4" width="13.75390625" style="3" customWidth="1"/>
    <col min="5" max="5" width="14.00390625" style="3" bestFit="1" customWidth="1"/>
    <col min="6" max="6" width="13.375" style="3" customWidth="1"/>
    <col min="7" max="7" width="13.75390625" style="3" customWidth="1"/>
    <col min="8" max="8" width="15.00390625" style="3" customWidth="1"/>
    <col min="9" max="10" width="14.375" style="3" customWidth="1"/>
    <col min="11" max="11" width="15.125" style="3" customWidth="1"/>
    <col min="12" max="12" width="14.00390625" style="3" customWidth="1"/>
    <col min="13" max="13" width="13.375" style="3" customWidth="1"/>
    <col min="14" max="14" width="14.375" style="3" customWidth="1"/>
    <col min="15" max="15" width="14.875" style="3" customWidth="1"/>
    <col min="16" max="16" width="15.375" style="3" customWidth="1"/>
    <col min="17" max="17" width="14.00390625" style="3" bestFit="1" customWidth="1"/>
    <col min="18" max="18" width="15.375" style="3" customWidth="1"/>
    <col min="19" max="20" width="14.875" style="3" customWidth="1"/>
    <col min="21" max="21" width="12.875" style="3" customWidth="1"/>
    <col min="22" max="22" width="14.875" style="3" customWidth="1"/>
    <col min="23" max="23" width="13.75390625" style="3" customWidth="1"/>
    <col min="24" max="24" width="14.00390625" style="3" bestFit="1" customWidth="1"/>
    <col min="25" max="25" width="14.625" style="3" customWidth="1"/>
    <col min="26" max="26" width="13.625" style="3" customWidth="1"/>
    <col min="27" max="27" width="12.75390625" style="3" customWidth="1"/>
    <col min="28" max="28" width="13.625" style="3" customWidth="1"/>
    <col min="29" max="29" width="14.875" style="3" customWidth="1"/>
    <col min="30" max="30" width="14.125" style="3" customWidth="1"/>
    <col min="31" max="31" width="14.625" style="3" customWidth="1"/>
    <col min="32" max="33" width="14.125" style="3" customWidth="1"/>
    <col min="34" max="34" width="14.25390625" style="3" customWidth="1"/>
    <col min="35" max="35" width="13.875" style="3" customWidth="1"/>
    <col min="36" max="37" width="14.625" style="3" customWidth="1"/>
    <col min="38" max="38" width="12.875" style="3" customWidth="1"/>
    <col min="39" max="39" width="12.625" style="3" customWidth="1"/>
    <col min="40" max="40" width="14.125" style="3" customWidth="1"/>
    <col min="41" max="41" width="13.875" style="3" customWidth="1"/>
    <col min="42" max="42" width="13.375" style="3" customWidth="1"/>
    <col min="43" max="43" width="12.75390625" style="3" customWidth="1"/>
    <col min="44" max="44" width="14.00390625" style="3" customWidth="1"/>
    <col min="45" max="45" width="13.75390625" style="3" customWidth="1"/>
    <col min="46" max="46" width="13.125" style="3" customWidth="1"/>
    <col min="47" max="47" width="13.375" style="3" customWidth="1"/>
    <col min="48" max="48" width="13.75390625" style="3" customWidth="1"/>
    <col min="49" max="49" width="13.875" style="4" customWidth="1"/>
    <col min="50" max="50" width="13.875" style="3" customWidth="1"/>
    <col min="51" max="51" width="13.625" style="3" customWidth="1"/>
    <col min="52" max="52" width="13.375" style="3" customWidth="1"/>
    <col min="53" max="54" width="14.00390625" style="3" customWidth="1"/>
    <col min="55" max="56" width="13.75390625" style="3" customWidth="1"/>
    <col min="57" max="57" width="14.00390625" style="3" customWidth="1"/>
    <col min="58" max="58" width="13.75390625" style="3" customWidth="1"/>
    <col min="59" max="59" width="13.875" style="3" customWidth="1"/>
    <col min="60" max="60" width="14.25390625" style="3" customWidth="1"/>
    <col min="61" max="61" width="10.75390625" style="0" customWidth="1"/>
    <col min="62" max="62" width="11.75390625" style="0" bestFit="1" customWidth="1"/>
    <col min="63" max="63" width="15.375" style="0" customWidth="1"/>
    <col min="64" max="65" width="10.75390625" style="0" customWidth="1"/>
  </cols>
  <sheetData>
    <row r="1" spans="1:2" ht="12.75">
      <c r="A1" s="61" t="s">
        <v>123</v>
      </c>
      <c r="B1" s="68"/>
    </row>
    <row r="3" spans="2:60" ht="12.75">
      <c r="B3" s="69" t="s">
        <v>70</v>
      </c>
      <c r="C3" s="1"/>
      <c r="D3" s="2"/>
      <c r="H3" s="2"/>
      <c r="L3" s="2"/>
      <c r="P3" s="2"/>
      <c r="T3" s="2"/>
      <c r="X3" s="2"/>
      <c r="AB3" s="2"/>
      <c r="AF3" s="2"/>
      <c r="AJ3" s="2"/>
      <c r="AN3" s="2"/>
      <c r="AR3" s="2"/>
      <c r="AV3" s="2"/>
      <c r="AZ3" s="2"/>
      <c r="BD3" s="2"/>
      <c r="BH3" s="2"/>
    </row>
    <row r="4" spans="2:60" ht="12.75">
      <c r="B4" s="70" t="s">
        <v>98</v>
      </c>
      <c r="C4" s="1"/>
      <c r="D4" s="2"/>
      <c r="H4" s="2"/>
      <c r="L4" s="2"/>
      <c r="P4" s="2"/>
      <c r="T4" s="2"/>
      <c r="X4" s="2"/>
      <c r="AB4" s="2"/>
      <c r="AF4" s="2"/>
      <c r="AJ4" s="2"/>
      <c r="AN4" s="2"/>
      <c r="AR4" s="2"/>
      <c r="AV4" s="2"/>
      <c r="AZ4" s="2"/>
      <c r="BD4" s="2"/>
      <c r="BH4" s="2"/>
    </row>
    <row r="5" spans="2:60" ht="12.75">
      <c r="B5" s="70"/>
      <c r="C5" s="1"/>
      <c r="D5" s="2"/>
      <c r="H5" s="2"/>
      <c r="L5" s="2"/>
      <c r="P5" s="2"/>
      <c r="T5" s="2"/>
      <c r="X5" s="2"/>
      <c r="AB5" s="2"/>
      <c r="AF5" s="2"/>
      <c r="AJ5" s="2"/>
      <c r="AN5" s="2"/>
      <c r="AR5" s="2"/>
      <c r="AV5" s="2"/>
      <c r="AZ5" s="2"/>
      <c r="BD5" s="2"/>
      <c r="BH5" s="2"/>
    </row>
    <row r="6" spans="2:60" ht="13.5" thickBot="1">
      <c r="B6" s="71"/>
      <c r="C6" s="1"/>
      <c r="D6" s="2"/>
      <c r="H6" s="2"/>
      <c r="L6" s="2"/>
      <c r="P6" s="2"/>
      <c r="T6" s="2"/>
      <c r="X6" s="2"/>
      <c r="AB6" s="2"/>
      <c r="AF6" s="2"/>
      <c r="AJ6" s="2"/>
      <c r="AN6" s="2"/>
      <c r="AR6" s="2"/>
      <c r="AV6" s="2"/>
      <c r="AZ6" s="2"/>
      <c r="BD6" s="2"/>
      <c r="BH6" s="2"/>
    </row>
    <row r="7" spans="1:70" ht="12.75">
      <c r="A7" s="5" t="s">
        <v>0</v>
      </c>
      <c r="B7" s="72" t="s">
        <v>1</v>
      </c>
      <c r="C7" s="6" t="s">
        <v>71</v>
      </c>
      <c r="D7" s="6">
        <v>1</v>
      </c>
      <c r="E7" s="6">
        <v>2</v>
      </c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P7" s="6">
        <v>13</v>
      </c>
      <c r="Q7" s="6">
        <v>14</v>
      </c>
      <c r="R7" s="6">
        <v>15</v>
      </c>
      <c r="S7" s="6">
        <v>16</v>
      </c>
      <c r="T7" s="6">
        <v>17</v>
      </c>
      <c r="U7" s="6">
        <v>18</v>
      </c>
      <c r="V7" s="6">
        <v>19</v>
      </c>
      <c r="W7" s="6">
        <v>20</v>
      </c>
      <c r="X7" s="6">
        <v>21</v>
      </c>
      <c r="Y7" s="6">
        <v>22</v>
      </c>
      <c r="Z7" s="6">
        <v>23</v>
      </c>
      <c r="AA7" s="6">
        <v>24</v>
      </c>
      <c r="AB7" s="6">
        <v>25</v>
      </c>
      <c r="AC7" s="6">
        <v>26</v>
      </c>
      <c r="AD7" s="6">
        <v>27</v>
      </c>
      <c r="AE7" s="6">
        <v>28</v>
      </c>
      <c r="AF7" s="6">
        <v>29</v>
      </c>
      <c r="AG7" s="6">
        <v>30</v>
      </c>
      <c r="AH7" s="6">
        <v>31</v>
      </c>
      <c r="AI7" s="6">
        <v>32</v>
      </c>
      <c r="AJ7" s="6">
        <v>33</v>
      </c>
      <c r="AK7" s="6">
        <v>34</v>
      </c>
      <c r="AL7" s="6">
        <v>35</v>
      </c>
      <c r="AM7" s="6">
        <v>36</v>
      </c>
      <c r="AN7" s="6">
        <v>37</v>
      </c>
      <c r="AO7" s="6">
        <v>38</v>
      </c>
      <c r="AP7" s="6">
        <v>39</v>
      </c>
      <c r="AQ7" s="6">
        <v>40</v>
      </c>
      <c r="AR7" s="6">
        <v>41</v>
      </c>
      <c r="AS7" s="6">
        <v>42</v>
      </c>
      <c r="AT7" s="6">
        <v>43</v>
      </c>
      <c r="AU7" s="6">
        <v>44</v>
      </c>
      <c r="AV7" s="6">
        <v>45</v>
      </c>
      <c r="AW7" s="7">
        <v>46</v>
      </c>
      <c r="AX7" s="6">
        <v>47</v>
      </c>
      <c r="AY7" s="6">
        <v>48</v>
      </c>
      <c r="AZ7" s="6">
        <v>49</v>
      </c>
      <c r="BA7" s="6">
        <v>50</v>
      </c>
      <c r="BB7" s="6">
        <v>51</v>
      </c>
      <c r="BC7" s="6">
        <v>52</v>
      </c>
      <c r="BD7" s="6">
        <v>53</v>
      </c>
      <c r="BE7" s="6">
        <v>54</v>
      </c>
      <c r="BF7" s="6">
        <v>55</v>
      </c>
      <c r="BG7" s="6">
        <v>56</v>
      </c>
      <c r="BH7" s="6">
        <v>57</v>
      </c>
      <c r="BI7" s="8"/>
      <c r="BJ7" s="8"/>
      <c r="BK7" s="8"/>
      <c r="BL7" s="8"/>
      <c r="BM7" s="8"/>
      <c r="BN7" s="8"/>
      <c r="BO7" s="8"/>
      <c r="BP7" s="8"/>
      <c r="BQ7" s="8"/>
      <c r="BR7" s="8"/>
    </row>
    <row r="8" spans="1:70" ht="13.5" thickBot="1">
      <c r="A8" s="9" t="s">
        <v>2</v>
      </c>
      <c r="B8" s="73"/>
      <c r="C8" s="10" t="s">
        <v>72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14</v>
      </c>
      <c r="P8" s="10" t="s">
        <v>15</v>
      </c>
      <c r="Q8" s="10" t="s">
        <v>16</v>
      </c>
      <c r="R8" s="10" t="s">
        <v>17</v>
      </c>
      <c r="S8" s="10" t="s">
        <v>18</v>
      </c>
      <c r="T8" s="10" t="s">
        <v>19</v>
      </c>
      <c r="U8" s="10" t="s">
        <v>20</v>
      </c>
      <c r="V8" s="10" t="s">
        <v>21</v>
      </c>
      <c r="W8" s="10" t="s">
        <v>22</v>
      </c>
      <c r="X8" s="10" t="s">
        <v>23</v>
      </c>
      <c r="Y8" s="10" t="s">
        <v>24</v>
      </c>
      <c r="Z8" s="10" t="s">
        <v>25</v>
      </c>
      <c r="AA8" s="10" t="s">
        <v>26</v>
      </c>
      <c r="AB8" s="10" t="s">
        <v>27</v>
      </c>
      <c r="AC8" s="10" t="s">
        <v>28</v>
      </c>
      <c r="AD8" s="10" t="s">
        <v>29</v>
      </c>
      <c r="AE8" s="10" t="s">
        <v>30</v>
      </c>
      <c r="AF8" s="10" t="s">
        <v>31</v>
      </c>
      <c r="AG8" s="10" t="s">
        <v>32</v>
      </c>
      <c r="AH8" s="10" t="s">
        <v>33</v>
      </c>
      <c r="AI8" s="10" t="s">
        <v>34</v>
      </c>
      <c r="AJ8" s="10" t="s">
        <v>35</v>
      </c>
      <c r="AK8" s="10" t="s">
        <v>36</v>
      </c>
      <c r="AL8" s="10" t="s">
        <v>37</v>
      </c>
      <c r="AM8" s="10" t="s">
        <v>38</v>
      </c>
      <c r="AN8" s="10" t="s">
        <v>39</v>
      </c>
      <c r="AO8" s="10" t="s">
        <v>40</v>
      </c>
      <c r="AP8" s="10" t="s">
        <v>41</v>
      </c>
      <c r="AQ8" s="10" t="s">
        <v>42</v>
      </c>
      <c r="AR8" s="10" t="s">
        <v>43</v>
      </c>
      <c r="AS8" s="10" t="s">
        <v>44</v>
      </c>
      <c r="AT8" s="10" t="s">
        <v>45</v>
      </c>
      <c r="AU8" s="10" t="s">
        <v>46</v>
      </c>
      <c r="AV8" s="10" t="s">
        <v>47</v>
      </c>
      <c r="AW8" s="11" t="s">
        <v>48</v>
      </c>
      <c r="AX8" s="10" t="s">
        <v>49</v>
      </c>
      <c r="AY8" s="10" t="s">
        <v>50</v>
      </c>
      <c r="AZ8" s="10" t="s">
        <v>51</v>
      </c>
      <c r="BA8" s="10" t="s">
        <v>52</v>
      </c>
      <c r="BB8" s="10" t="s">
        <v>53</v>
      </c>
      <c r="BC8" s="10" t="s">
        <v>54</v>
      </c>
      <c r="BD8" s="10" t="s">
        <v>55</v>
      </c>
      <c r="BE8" s="10" t="s">
        <v>56</v>
      </c>
      <c r="BF8" s="10" t="s">
        <v>57</v>
      </c>
      <c r="BG8" s="10" t="s">
        <v>58</v>
      </c>
      <c r="BH8" s="10" t="s">
        <v>59</v>
      </c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60" ht="13.5" thickTop="1">
      <c r="A9" s="12"/>
      <c r="B9" s="74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</row>
    <row r="10" spans="1:60" ht="12.75">
      <c r="A10" s="20"/>
      <c r="B10" s="75" t="s">
        <v>60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</row>
    <row r="11" spans="1:60" ht="12.75">
      <c r="A11" s="15"/>
      <c r="B11" s="76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</row>
    <row r="12" spans="1:67" s="25" customFormat="1" ht="12.75">
      <c r="A12" s="23" t="s">
        <v>91</v>
      </c>
      <c r="B12" s="75" t="s">
        <v>79</v>
      </c>
      <c r="C12" s="16">
        <f>SUM(D12:BH12)</f>
        <v>4949747.320000001</v>
      </c>
      <c r="D12" s="24">
        <f aca="true" t="shared" si="0" ref="D12:AI12">SUM(D13:D17)</f>
        <v>0</v>
      </c>
      <c r="E12" s="24">
        <f t="shared" si="0"/>
        <v>0</v>
      </c>
      <c r="F12" s="24">
        <f t="shared" si="0"/>
        <v>495573.2</v>
      </c>
      <c r="G12" s="24">
        <f t="shared" si="0"/>
        <v>591134.73</v>
      </c>
      <c r="H12" s="24">
        <f t="shared" si="0"/>
        <v>3669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2302045.06</v>
      </c>
      <c r="M12" s="24">
        <f t="shared" si="0"/>
        <v>0</v>
      </c>
      <c r="N12" s="24">
        <f t="shared" si="0"/>
        <v>0</v>
      </c>
      <c r="O12" s="24">
        <f t="shared" si="0"/>
        <v>12341.47</v>
      </c>
      <c r="P12" s="24">
        <f t="shared" si="0"/>
        <v>0</v>
      </c>
      <c r="Q12" s="24">
        <f t="shared" si="0"/>
        <v>1187466.98</v>
      </c>
      <c r="R12" s="24">
        <f t="shared" si="0"/>
        <v>6913.65</v>
      </c>
      <c r="S12" s="24">
        <f t="shared" si="0"/>
        <v>51717.27</v>
      </c>
      <c r="T12" s="24">
        <f t="shared" si="0"/>
        <v>38610.44</v>
      </c>
      <c r="U12" s="24">
        <f t="shared" si="0"/>
        <v>0</v>
      </c>
      <c r="V12" s="24">
        <f t="shared" si="0"/>
        <v>85046.39</v>
      </c>
      <c r="W12" s="24">
        <f t="shared" si="0"/>
        <v>116568</v>
      </c>
      <c r="X12" s="24">
        <f t="shared" si="0"/>
        <v>0</v>
      </c>
      <c r="Y12" s="24">
        <f t="shared" si="0"/>
        <v>0</v>
      </c>
      <c r="Z12" s="24">
        <f t="shared" si="0"/>
        <v>2211.59</v>
      </c>
      <c r="AA12" s="24">
        <f t="shared" si="0"/>
        <v>0</v>
      </c>
      <c r="AB12" s="24">
        <f t="shared" si="0"/>
        <v>0</v>
      </c>
      <c r="AC12" s="24">
        <f t="shared" si="0"/>
        <v>0</v>
      </c>
      <c r="AD12" s="24">
        <f t="shared" si="0"/>
        <v>0</v>
      </c>
      <c r="AE12" s="24">
        <f t="shared" si="0"/>
        <v>3710.28</v>
      </c>
      <c r="AF12" s="24">
        <f t="shared" si="0"/>
        <v>0</v>
      </c>
      <c r="AG12" s="24">
        <f t="shared" si="0"/>
        <v>0</v>
      </c>
      <c r="AH12" s="24">
        <f t="shared" si="0"/>
        <v>445</v>
      </c>
      <c r="AI12" s="24">
        <f t="shared" si="0"/>
        <v>0</v>
      </c>
      <c r="AJ12" s="24">
        <f aca="true" t="shared" si="1" ref="AJ12:BH12">SUM(AJ13:AJ17)</f>
        <v>831.04</v>
      </c>
      <c r="AK12" s="24">
        <f t="shared" si="1"/>
        <v>0</v>
      </c>
      <c r="AL12" s="24">
        <f t="shared" si="1"/>
        <v>0</v>
      </c>
      <c r="AM12" s="24">
        <f t="shared" si="1"/>
        <v>507.57</v>
      </c>
      <c r="AN12" s="24">
        <f t="shared" si="1"/>
        <v>0</v>
      </c>
      <c r="AO12" s="24">
        <f t="shared" si="1"/>
        <v>0</v>
      </c>
      <c r="AP12" s="24">
        <f t="shared" si="1"/>
        <v>0</v>
      </c>
      <c r="AQ12" s="24">
        <f t="shared" si="1"/>
        <v>0</v>
      </c>
      <c r="AR12" s="24">
        <f t="shared" si="1"/>
        <v>2645</v>
      </c>
      <c r="AS12" s="24">
        <f t="shared" si="1"/>
        <v>0</v>
      </c>
      <c r="AT12" s="24">
        <f t="shared" si="1"/>
        <v>0</v>
      </c>
      <c r="AU12" s="24">
        <f t="shared" si="1"/>
        <v>48310.65</v>
      </c>
      <c r="AV12" s="24">
        <f t="shared" si="1"/>
        <v>0</v>
      </c>
      <c r="AW12" s="24">
        <f t="shared" si="1"/>
        <v>0</v>
      </c>
      <c r="AX12" s="24">
        <f t="shared" si="1"/>
        <v>0</v>
      </c>
      <c r="AY12" s="24">
        <f t="shared" si="1"/>
        <v>0</v>
      </c>
      <c r="AZ12" s="24">
        <f t="shared" si="1"/>
        <v>0</v>
      </c>
      <c r="BA12" s="24">
        <f t="shared" si="1"/>
        <v>0</v>
      </c>
      <c r="BB12" s="24">
        <f t="shared" si="1"/>
        <v>0</v>
      </c>
      <c r="BC12" s="24">
        <f t="shared" si="1"/>
        <v>0</v>
      </c>
      <c r="BD12" s="24">
        <f t="shared" si="1"/>
        <v>0</v>
      </c>
      <c r="BE12" s="24">
        <f t="shared" si="1"/>
        <v>0</v>
      </c>
      <c r="BF12" s="24">
        <f t="shared" si="1"/>
        <v>0</v>
      </c>
      <c r="BG12" s="24">
        <f t="shared" si="1"/>
        <v>0</v>
      </c>
      <c r="BH12" s="24">
        <f t="shared" si="1"/>
        <v>0</v>
      </c>
      <c r="BI12" s="59"/>
      <c r="BJ12" s="60"/>
      <c r="BK12" s="60"/>
      <c r="BL12" s="60"/>
      <c r="BM12" s="60"/>
      <c r="BN12" s="60"/>
      <c r="BO12" s="60"/>
    </row>
    <row r="13" spans="1:63" ht="12.75">
      <c r="A13" s="26"/>
      <c r="B13" s="77" t="s">
        <v>86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K13" s="60"/>
    </row>
    <row r="14" spans="1:63" ht="12.75">
      <c r="A14" s="27"/>
      <c r="B14" s="67" t="s">
        <v>99</v>
      </c>
      <c r="C14" s="16">
        <f>SUM(D14:BH14)</f>
        <v>2307210.2299999995</v>
      </c>
      <c r="D14" s="22"/>
      <c r="E14" s="22"/>
      <c r="F14" s="22"/>
      <c r="G14" s="22"/>
      <c r="H14" s="22"/>
      <c r="I14" s="22"/>
      <c r="J14" s="22"/>
      <c r="K14" s="22"/>
      <c r="L14" s="22">
        <v>1365534.88</v>
      </c>
      <c r="M14" s="22"/>
      <c r="N14" s="22"/>
      <c r="O14" s="22"/>
      <c r="P14" s="22"/>
      <c r="Q14" s="22">
        <v>795121.26</v>
      </c>
      <c r="R14" s="22"/>
      <c r="S14" s="22"/>
      <c r="T14" s="22"/>
      <c r="U14" s="22"/>
      <c r="V14" s="22">
        <v>29155.05</v>
      </c>
      <c r="W14" s="22">
        <v>116568</v>
      </c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>
        <v>831.04</v>
      </c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K14" s="60"/>
    </row>
    <row r="15" spans="1:63" ht="12.75">
      <c r="A15" s="27"/>
      <c r="B15" s="67" t="s">
        <v>100</v>
      </c>
      <c r="C15" s="16">
        <f>SUM(D15:BH15)</f>
        <v>2642537.089999999</v>
      </c>
      <c r="D15" s="22"/>
      <c r="E15" s="22"/>
      <c r="F15" s="22">
        <v>495573.2</v>
      </c>
      <c r="G15" s="22">
        <v>591134.73</v>
      </c>
      <c r="H15" s="22">
        <v>3669</v>
      </c>
      <c r="I15" s="22"/>
      <c r="J15" s="22"/>
      <c r="K15" s="22"/>
      <c r="L15" s="22">
        <v>936510.18</v>
      </c>
      <c r="M15" s="22"/>
      <c r="N15" s="22"/>
      <c r="O15" s="22">
        <v>12341.47</v>
      </c>
      <c r="P15" s="22"/>
      <c r="Q15" s="22">
        <v>392345.72</v>
      </c>
      <c r="R15" s="22">
        <v>6913.65</v>
      </c>
      <c r="S15" s="22">
        <v>51717.27</v>
      </c>
      <c r="T15" s="22">
        <v>38610.44</v>
      </c>
      <c r="U15" s="22"/>
      <c r="V15" s="22">
        <v>55891.34</v>
      </c>
      <c r="W15" s="22"/>
      <c r="X15" s="22"/>
      <c r="Y15" s="22"/>
      <c r="Z15" s="22">
        <v>2211.59</v>
      </c>
      <c r="AA15" s="22"/>
      <c r="AB15" s="22"/>
      <c r="AC15" s="22"/>
      <c r="AD15" s="22"/>
      <c r="AE15" s="22">
        <v>3710.28</v>
      </c>
      <c r="AF15" s="22"/>
      <c r="AG15" s="22"/>
      <c r="AH15" s="22">
        <v>445</v>
      </c>
      <c r="AI15" s="22"/>
      <c r="AJ15" s="22"/>
      <c r="AK15" s="22"/>
      <c r="AL15" s="22"/>
      <c r="AM15" s="22">
        <v>507.57</v>
      </c>
      <c r="AN15" s="22"/>
      <c r="AO15" s="22"/>
      <c r="AP15" s="22"/>
      <c r="AQ15" s="22"/>
      <c r="AR15" s="22">
        <v>2645</v>
      </c>
      <c r="AS15" s="22"/>
      <c r="AT15" s="22"/>
      <c r="AU15" s="22">
        <v>48310.65</v>
      </c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K15" s="60"/>
    </row>
    <row r="16" spans="1:63" ht="12.75">
      <c r="A16" s="27"/>
      <c r="B16" s="67" t="s">
        <v>101</v>
      </c>
      <c r="C16" s="16">
        <f>SUM(D16:BH16)</f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K16" s="60"/>
    </row>
    <row r="17" spans="1:63" ht="12.75">
      <c r="A17" s="27"/>
      <c r="B17" s="67" t="s">
        <v>102</v>
      </c>
      <c r="C17" s="16">
        <f>SUM(D17:BH17)</f>
        <v>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K17" s="60"/>
    </row>
    <row r="18" spans="1:63" ht="12.75">
      <c r="A18" s="27"/>
      <c r="B18" s="78"/>
      <c r="C18" s="16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K18" s="60"/>
    </row>
    <row r="19" spans="1:63" s="25" customFormat="1" ht="12.75">
      <c r="A19" s="28" t="s">
        <v>92</v>
      </c>
      <c r="B19" s="79" t="s">
        <v>63</v>
      </c>
      <c r="C19" s="16">
        <f>SUM(D19:BH19)</f>
        <v>11911157.8</v>
      </c>
      <c r="D19" s="21">
        <f aca="true" t="shared" si="2" ref="D19:AI19">SUM(D21:D27)</f>
        <v>0</v>
      </c>
      <c r="E19" s="21">
        <f t="shared" si="2"/>
        <v>0</v>
      </c>
      <c r="F19" s="21">
        <f t="shared" si="2"/>
        <v>0</v>
      </c>
      <c r="G19" s="21">
        <f t="shared" si="2"/>
        <v>0</v>
      </c>
      <c r="H19" s="21">
        <f t="shared" si="2"/>
        <v>540808.6</v>
      </c>
      <c r="I19" s="21">
        <f t="shared" si="2"/>
        <v>1365185.61</v>
      </c>
      <c r="J19" s="21">
        <f t="shared" si="2"/>
        <v>0</v>
      </c>
      <c r="K19" s="21">
        <f t="shared" si="2"/>
        <v>384894.35</v>
      </c>
      <c r="L19" s="21">
        <f t="shared" si="2"/>
        <v>5270</v>
      </c>
      <c r="M19" s="21">
        <f t="shared" si="2"/>
        <v>659280.7</v>
      </c>
      <c r="N19" s="21">
        <f t="shared" si="2"/>
        <v>1463591.22</v>
      </c>
      <c r="O19" s="21">
        <f t="shared" si="2"/>
        <v>6320594.4</v>
      </c>
      <c r="P19" s="21">
        <f t="shared" si="2"/>
        <v>0</v>
      </c>
      <c r="Q19" s="21">
        <f t="shared" si="2"/>
        <v>478076.73</v>
      </c>
      <c r="R19" s="21">
        <f t="shared" si="2"/>
        <v>54779</v>
      </c>
      <c r="S19" s="21">
        <f t="shared" si="2"/>
        <v>0</v>
      </c>
      <c r="T19" s="21">
        <f t="shared" si="2"/>
        <v>0</v>
      </c>
      <c r="U19" s="21">
        <f t="shared" si="2"/>
        <v>0</v>
      </c>
      <c r="V19" s="21">
        <f t="shared" si="2"/>
        <v>0</v>
      </c>
      <c r="W19" s="21">
        <f t="shared" si="2"/>
        <v>6960</v>
      </c>
      <c r="X19" s="21">
        <f t="shared" si="2"/>
        <v>0</v>
      </c>
      <c r="Y19" s="21">
        <f t="shared" si="2"/>
        <v>0</v>
      </c>
      <c r="Z19" s="21">
        <f t="shared" si="2"/>
        <v>0</v>
      </c>
      <c r="AA19" s="21">
        <f t="shared" si="2"/>
        <v>0</v>
      </c>
      <c r="AB19" s="21">
        <f t="shared" si="2"/>
        <v>0</v>
      </c>
      <c r="AC19" s="21">
        <f t="shared" si="2"/>
        <v>0</v>
      </c>
      <c r="AD19" s="21">
        <f t="shared" si="2"/>
        <v>2620</v>
      </c>
      <c r="AE19" s="21">
        <f t="shared" si="2"/>
        <v>0</v>
      </c>
      <c r="AF19" s="21">
        <f t="shared" si="2"/>
        <v>0</v>
      </c>
      <c r="AG19" s="21">
        <f t="shared" si="2"/>
        <v>0</v>
      </c>
      <c r="AH19" s="21">
        <f t="shared" si="2"/>
        <v>0</v>
      </c>
      <c r="AI19" s="21">
        <f t="shared" si="2"/>
        <v>0</v>
      </c>
      <c r="AJ19" s="21">
        <f aca="true" t="shared" si="3" ref="AJ19:BH19">SUM(AJ21:AJ27)</f>
        <v>0</v>
      </c>
      <c r="AK19" s="21">
        <f t="shared" si="3"/>
        <v>282809.63</v>
      </c>
      <c r="AL19" s="21">
        <f t="shared" si="3"/>
        <v>25</v>
      </c>
      <c r="AM19" s="21">
        <f t="shared" si="3"/>
        <v>0</v>
      </c>
      <c r="AN19" s="21">
        <f t="shared" si="3"/>
        <v>0</v>
      </c>
      <c r="AO19" s="21">
        <f t="shared" si="3"/>
        <v>1581.5</v>
      </c>
      <c r="AP19" s="21">
        <f t="shared" si="3"/>
        <v>0</v>
      </c>
      <c r="AQ19" s="21">
        <f t="shared" si="3"/>
        <v>0</v>
      </c>
      <c r="AR19" s="21">
        <f t="shared" si="3"/>
        <v>0</v>
      </c>
      <c r="AS19" s="21">
        <f t="shared" si="3"/>
        <v>0</v>
      </c>
      <c r="AT19" s="21">
        <f t="shared" si="3"/>
        <v>75</v>
      </c>
      <c r="AU19" s="21">
        <f t="shared" si="3"/>
        <v>0</v>
      </c>
      <c r="AV19" s="21">
        <f t="shared" si="3"/>
        <v>0</v>
      </c>
      <c r="AW19" s="21">
        <f t="shared" si="3"/>
        <v>0</v>
      </c>
      <c r="AX19" s="21">
        <f t="shared" si="3"/>
        <v>0</v>
      </c>
      <c r="AY19" s="21">
        <f t="shared" si="3"/>
        <v>141343.56</v>
      </c>
      <c r="AZ19" s="21">
        <f t="shared" si="3"/>
        <v>202714.5</v>
      </c>
      <c r="BA19" s="21">
        <f t="shared" si="3"/>
        <v>12.5</v>
      </c>
      <c r="BB19" s="21">
        <f t="shared" si="3"/>
        <v>0</v>
      </c>
      <c r="BC19" s="21">
        <f t="shared" si="3"/>
        <v>158.5</v>
      </c>
      <c r="BD19" s="21">
        <f t="shared" si="3"/>
        <v>377</v>
      </c>
      <c r="BE19" s="21">
        <f t="shared" si="3"/>
        <v>0</v>
      </c>
      <c r="BF19" s="21">
        <f t="shared" si="3"/>
        <v>0</v>
      </c>
      <c r="BG19" s="21">
        <f t="shared" si="3"/>
        <v>0</v>
      </c>
      <c r="BH19" s="21">
        <f t="shared" si="3"/>
        <v>0</v>
      </c>
      <c r="BK19" s="60"/>
    </row>
    <row r="20" spans="1:63" s="25" customFormat="1" ht="12.75">
      <c r="A20" s="28"/>
      <c r="B20" s="80" t="s">
        <v>86</v>
      </c>
      <c r="C20" s="16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K20" s="60"/>
    </row>
    <row r="21" spans="1:63" ht="12.75">
      <c r="A21" s="27"/>
      <c r="B21" s="81" t="s">
        <v>87</v>
      </c>
      <c r="C21" s="29">
        <f aca="true" t="shared" si="4" ref="C21:C27">SUM(D21:BH21)</f>
        <v>9189.5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>
        <v>6960</v>
      </c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25</v>
      </c>
      <c r="AM21" s="22"/>
      <c r="AN21" s="22"/>
      <c r="AO21" s="22">
        <v>1581.5</v>
      </c>
      <c r="AP21" s="22"/>
      <c r="AQ21" s="22"/>
      <c r="AR21" s="22"/>
      <c r="AS21" s="22"/>
      <c r="AT21" s="22">
        <v>75</v>
      </c>
      <c r="AU21" s="22"/>
      <c r="AV21" s="22"/>
      <c r="AW21" s="22"/>
      <c r="AX21" s="22"/>
      <c r="AY21" s="22"/>
      <c r="AZ21" s="22"/>
      <c r="BA21" s="22">
        <v>12.5</v>
      </c>
      <c r="BB21" s="22"/>
      <c r="BC21" s="22">
        <v>158.5</v>
      </c>
      <c r="BD21" s="22">
        <v>377</v>
      </c>
      <c r="BE21" s="22"/>
      <c r="BF21" s="22"/>
      <c r="BG21" s="22"/>
      <c r="BH21" s="22"/>
      <c r="BK21" s="60"/>
    </row>
    <row r="22" spans="1:63" s="32" customFormat="1" ht="12.75">
      <c r="A22" s="30"/>
      <c r="B22" s="82" t="s">
        <v>103</v>
      </c>
      <c r="C22" s="29">
        <f t="shared" si="4"/>
        <v>7890</v>
      </c>
      <c r="D22" s="31"/>
      <c r="E22" s="31"/>
      <c r="F22" s="31"/>
      <c r="G22" s="31"/>
      <c r="H22" s="31"/>
      <c r="I22" s="31"/>
      <c r="J22" s="31"/>
      <c r="K22" s="31"/>
      <c r="L22" s="31">
        <v>5270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>
        <v>2620</v>
      </c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K22" s="60"/>
    </row>
    <row r="23" spans="1:120" s="32" customFormat="1" ht="24">
      <c r="A23" s="30"/>
      <c r="B23" s="83" t="s">
        <v>104</v>
      </c>
      <c r="C23" s="58">
        <f t="shared" si="4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57"/>
      <c r="BJ23" s="57"/>
      <c r="BK23" s="60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</row>
    <row r="24" spans="1:120" s="32" customFormat="1" ht="24">
      <c r="A24" s="30"/>
      <c r="B24" s="83" t="s">
        <v>105</v>
      </c>
      <c r="C24" s="58">
        <f t="shared" si="4"/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57"/>
      <c r="BJ24" s="57"/>
      <c r="BK24" s="60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</row>
    <row r="25" spans="1:120" s="32" customFormat="1" ht="12.75">
      <c r="A25" s="30"/>
      <c r="B25" s="84" t="s">
        <v>106</v>
      </c>
      <c r="C25" s="58">
        <f t="shared" si="4"/>
        <v>871832.39</v>
      </c>
      <c r="D25" s="31"/>
      <c r="E25" s="31"/>
      <c r="F25" s="31"/>
      <c r="G25" s="31"/>
      <c r="H25" s="31">
        <v>104265.5</v>
      </c>
      <c r="I25" s="31">
        <v>42117.5</v>
      </c>
      <c r="J25" s="31"/>
      <c r="K25" s="31"/>
      <c r="L25" s="31"/>
      <c r="M25" s="31">
        <v>10857</v>
      </c>
      <c r="N25" s="31">
        <v>448737.49</v>
      </c>
      <c r="O25" s="31"/>
      <c r="P25" s="31"/>
      <c r="Q25" s="31">
        <v>84769.9</v>
      </c>
      <c r="R25" s="31">
        <v>30700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>
        <v>150385</v>
      </c>
      <c r="BA25" s="31"/>
      <c r="BB25" s="31"/>
      <c r="BC25" s="31"/>
      <c r="BD25" s="31"/>
      <c r="BE25" s="31"/>
      <c r="BF25" s="31"/>
      <c r="BG25" s="31"/>
      <c r="BH25" s="31"/>
      <c r="BI25" s="57"/>
      <c r="BJ25" s="57"/>
      <c r="BK25" s="60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</row>
    <row r="26" spans="1:120" s="32" customFormat="1" ht="12.75">
      <c r="A26" s="30"/>
      <c r="B26" s="84" t="s">
        <v>107</v>
      </c>
      <c r="C26" s="58">
        <f t="shared" si="4"/>
        <v>4701651.509999999</v>
      </c>
      <c r="D26" s="31"/>
      <c r="E26" s="31"/>
      <c r="F26" s="31"/>
      <c r="G26" s="31"/>
      <c r="H26" s="31">
        <v>436543.1</v>
      </c>
      <c r="I26" s="31">
        <v>1323068.11</v>
      </c>
      <c r="J26" s="31"/>
      <c r="K26" s="31">
        <v>384894.35</v>
      </c>
      <c r="L26" s="31"/>
      <c r="M26" s="31">
        <v>648423.7</v>
      </c>
      <c r="N26" s="31">
        <v>1014853.73</v>
      </c>
      <c r="O26" s="31"/>
      <c r="P26" s="31"/>
      <c r="Q26" s="31">
        <v>393306.83</v>
      </c>
      <c r="R26" s="31">
        <v>24079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>
        <v>282809.63</v>
      </c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>
        <v>141343.56</v>
      </c>
      <c r="AZ26" s="31">
        <v>52329.5</v>
      </c>
      <c r="BA26" s="31"/>
      <c r="BB26" s="31"/>
      <c r="BC26" s="31"/>
      <c r="BD26" s="31"/>
      <c r="BE26" s="31"/>
      <c r="BF26" s="31"/>
      <c r="BG26" s="31"/>
      <c r="BH26" s="31"/>
      <c r="BI26" s="57"/>
      <c r="BJ26" s="57"/>
      <c r="BK26" s="60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</row>
    <row r="27" spans="1:120" s="32" customFormat="1" ht="12.75">
      <c r="A27" s="30"/>
      <c r="B27" s="84" t="s">
        <v>89</v>
      </c>
      <c r="C27" s="58">
        <f t="shared" si="4"/>
        <v>6320594.4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>
        <v>6320594.4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57"/>
      <c r="BJ27" s="57"/>
      <c r="BK27" s="60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</row>
    <row r="28" spans="1:63" ht="13.5" thickBot="1">
      <c r="A28" s="18"/>
      <c r="B28" s="85"/>
      <c r="C28" s="1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K28" s="60"/>
    </row>
    <row r="29" spans="1:63" s="35" customFormat="1" ht="14.25" thickBot="1" thickTop="1">
      <c r="A29" s="33" t="s">
        <v>61</v>
      </c>
      <c r="B29" s="86" t="s">
        <v>94</v>
      </c>
      <c r="C29" s="34">
        <f>SUM(D29:BH29)</f>
        <v>16860905.12</v>
      </c>
      <c r="D29" s="34">
        <f aca="true" t="shared" si="5" ref="D29:AI29">SUM(D12,D19)</f>
        <v>0</v>
      </c>
      <c r="E29" s="34">
        <f t="shared" si="5"/>
        <v>0</v>
      </c>
      <c r="F29" s="34">
        <f t="shared" si="5"/>
        <v>495573.2</v>
      </c>
      <c r="G29" s="34">
        <f t="shared" si="5"/>
        <v>591134.73</v>
      </c>
      <c r="H29" s="34">
        <f t="shared" si="5"/>
        <v>544477.6</v>
      </c>
      <c r="I29" s="34">
        <f t="shared" si="5"/>
        <v>1365185.61</v>
      </c>
      <c r="J29" s="34">
        <f t="shared" si="5"/>
        <v>0</v>
      </c>
      <c r="K29" s="34">
        <f t="shared" si="5"/>
        <v>384894.35</v>
      </c>
      <c r="L29" s="34">
        <f t="shared" si="5"/>
        <v>2307315.06</v>
      </c>
      <c r="M29" s="34">
        <f t="shared" si="5"/>
        <v>659280.7</v>
      </c>
      <c r="N29" s="34">
        <f t="shared" si="5"/>
        <v>1463591.22</v>
      </c>
      <c r="O29" s="34">
        <f t="shared" si="5"/>
        <v>6332935.87</v>
      </c>
      <c r="P29" s="34">
        <f t="shared" si="5"/>
        <v>0</v>
      </c>
      <c r="Q29" s="34">
        <f t="shared" si="5"/>
        <v>1665543.71</v>
      </c>
      <c r="R29" s="34">
        <f t="shared" si="5"/>
        <v>61692.65</v>
      </c>
      <c r="S29" s="34">
        <f t="shared" si="5"/>
        <v>51717.27</v>
      </c>
      <c r="T29" s="34">
        <f t="shared" si="5"/>
        <v>38610.44</v>
      </c>
      <c r="U29" s="34">
        <f t="shared" si="5"/>
        <v>0</v>
      </c>
      <c r="V29" s="34">
        <f t="shared" si="5"/>
        <v>85046.39</v>
      </c>
      <c r="W29" s="34">
        <f t="shared" si="5"/>
        <v>123528</v>
      </c>
      <c r="X29" s="34">
        <f t="shared" si="5"/>
        <v>0</v>
      </c>
      <c r="Y29" s="34">
        <f t="shared" si="5"/>
        <v>0</v>
      </c>
      <c r="Z29" s="34">
        <f t="shared" si="5"/>
        <v>2211.59</v>
      </c>
      <c r="AA29" s="34">
        <f t="shared" si="5"/>
        <v>0</v>
      </c>
      <c r="AB29" s="34">
        <f t="shared" si="5"/>
        <v>0</v>
      </c>
      <c r="AC29" s="34">
        <f t="shared" si="5"/>
        <v>0</v>
      </c>
      <c r="AD29" s="34">
        <f t="shared" si="5"/>
        <v>2620</v>
      </c>
      <c r="AE29" s="34">
        <f t="shared" si="5"/>
        <v>3710.28</v>
      </c>
      <c r="AF29" s="34">
        <f t="shared" si="5"/>
        <v>0</v>
      </c>
      <c r="AG29" s="34">
        <f t="shared" si="5"/>
        <v>0</v>
      </c>
      <c r="AH29" s="34">
        <f t="shared" si="5"/>
        <v>445</v>
      </c>
      <c r="AI29" s="34">
        <f t="shared" si="5"/>
        <v>0</v>
      </c>
      <c r="AJ29" s="34">
        <f aca="true" t="shared" si="6" ref="AJ29:BH29">SUM(AJ12,AJ19)</f>
        <v>831.04</v>
      </c>
      <c r="AK29" s="34">
        <f t="shared" si="6"/>
        <v>282809.63</v>
      </c>
      <c r="AL29" s="34">
        <f t="shared" si="6"/>
        <v>25</v>
      </c>
      <c r="AM29" s="34">
        <f t="shared" si="6"/>
        <v>507.57</v>
      </c>
      <c r="AN29" s="34">
        <f t="shared" si="6"/>
        <v>0</v>
      </c>
      <c r="AO29" s="34">
        <f t="shared" si="6"/>
        <v>1581.5</v>
      </c>
      <c r="AP29" s="34">
        <f t="shared" si="6"/>
        <v>0</v>
      </c>
      <c r="AQ29" s="34">
        <f t="shared" si="6"/>
        <v>0</v>
      </c>
      <c r="AR29" s="34">
        <f t="shared" si="6"/>
        <v>2645</v>
      </c>
      <c r="AS29" s="34">
        <f t="shared" si="6"/>
        <v>0</v>
      </c>
      <c r="AT29" s="34">
        <f t="shared" si="6"/>
        <v>75</v>
      </c>
      <c r="AU29" s="34">
        <f t="shared" si="6"/>
        <v>48310.65</v>
      </c>
      <c r="AV29" s="34">
        <f t="shared" si="6"/>
        <v>0</v>
      </c>
      <c r="AW29" s="34">
        <f t="shared" si="6"/>
        <v>0</v>
      </c>
      <c r="AX29" s="34">
        <f t="shared" si="6"/>
        <v>0</v>
      </c>
      <c r="AY29" s="34">
        <f t="shared" si="6"/>
        <v>141343.56</v>
      </c>
      <c r="AZ29" s="34">
        <f t="shared" si="6"/>
        <v>202714.5</v>
      </c>
      <c r="BA29" s="34">
        <f t="shared" si="6"/>
        <v>12.5</v>
      </c>
      <c r="BB29" s="34">
        <f t="shared" si="6"/>
        <v>0</v>
      </c>
      <c r="BC29" s="34">
        <f t="shared" si="6"/>
        <v>158.5</v>
      </c>
      <c r="BD29" s="34">
        <f t="shared" si="6"/>
        <v>377</v>
      </c>
      <c r="BE29" s="34">
        <f t="shared" si="6"/>
        <v>0</v>
      </c>
      <c r="BF29" s="34">
        <f t="shared" si="6"/>
        <v>0</v>
      </c>
      <c r="BG29" s="34">
        <f t="shared" si="6"/>
        <v>0</v>
      </c>
      <c r="BH29" s="34">
        <f t="shared" si="6"/>
        <v>0</v>
      </c>
      <c r="BK29" s="60"/>
    </row>
    <row r="30" spans="1:63" s="38" customFormat="1" ht="13.5" thickTop="1">
      <c r="A30" s="36"/>
      <c r="B30" s="87"/>
      <c r="C30" s="24"/>
      <c r="D30" s="37"/>
      <c r="E30" s="55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K30" s="60"/>
    </row>
    <row r="31" spans="1:63" ht="12.75">
      <c r="A31" s="39"/>
      <c r="B31" s="88" t="s">
        <v>65</v>
      </c>
      <c r="C31" s="16"/>
      <c r="D31" s="40"/>
      <c r="E31" s="17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K31" s="60"/>
    </row>
    <row r="32" spans="1:63" ht="12.75">
      <c r="A32" s="39"/>
      <c r="B32" s="76"/>
      <c r="C32" s="16"/>
      <c r="D32" s="40"/>
      <c r="E32" s="17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K32" s="60"/>
    </row>
    <row r="33" spans="1:63" s="25" customFormat="1" ht="12.75">
      <c r="A33" s="41" t="s">
        <v>62</v>
      </c>
      <c r="B33" s="88" t="s">
        <v>67</v>
      </c>
      <c r="C33" s="16">
        <f aca="true" t="shared" si="7" ref="C33:C44">SUM(D33:BH33)</f>
        <v>8092220.2</v>
      </c>
      <c r="D33" s="42">
        <f aca="true" t="shared" si="8" ref="D33:AI33">SUM(D34:D44)</f>
        <v>20580</v>
      </c>
      <c r="E33" s="42">
        <f t="shared" si="8"/>
        <v>165102</v>
      </c>
      <c r="F33" s="42">
        <f t="shared" si="8"/>
        <v>0</v>
      </c>
      <c r="G33" s="42">
        <f t="shared" si="8"/>
        <v>1311278</v>
      </c>
      <c r="H33" s="42">
        <f t="shared" si="8"/>
        <v>248690.6</v>
      </c>
      <c r="I33" s="42">
        <f t="shared" si="8"/>
        <v>808685.22</v>
      </c>
      <c r="J33" s="42">
        <f t="shared" si="8"/>
        <v>577262.99</v>
      </c>
      <c r="K33" s="42">
        <f t="shared" si="8"/>
        <v>1019755.97</v>
      </c>
      <c r="L33" s="42">
        <f t="shared" si="8"/>
        <v>269218</v>
      </c>
      <c r="M33" s="42">
        <f t="shared" si="8"/>
        <v>757278.6599999999</v>
      </c>
      <c r="N33" s="42">
        <f t="shared" si="8"/>
        <v>506934.42000000004</v>
      </c>
      <c r="O33" s="42">
        <f t="shared" si="8"/>
        <v>58781</v>
      </c>
      <c r="P33" s="42">
        <f t="shared" si="8"/>
        <v>826646</v>
      </c>
      <c r="Q33" s="42">
        <f t="shared" si="8"/>
        <v>455509.51</v>
      </c>
      <c r="R33" s="42">
        <f t="shared" si="8"/>
        <v>0</v>
      </c>
      <c r="S33" s="42">
        <f t="shared" si="8"/>
        <v>0</v>
      </c>
      <c r="T33" s="42">
        <f t="shared" si="8"/>
        <v>89390</v>
      </c>
      <c r="U33" s="42">
        <f t="shared" si="8"/>
        <v>0</v>
      </c>
      <c r="V33" s="42">
        <f t="shared" si="8"/>
        <v>6125</v>
      </c>
      <c r="W33" s="42">
        <f t="shared" si="8"/>
        <v>10411.26</v>
      </c>
      <c r="X33" s="42">
        <f t="shared" si="8"/>
        <v>1589</v>
      </c>
      <c r="Y33" s="42">
        <f t="shared" si="8"/>
        <v>110574.68</v>
      </c>
      <c r="Z33" s="42">
        <f t="shared" si="8"/>
        <v>8643.89</v>
      </c>
      <c r="AA33" s="42">
        <f t="shared" si="8"/>
        <v>6722.36</v>
      </c>
      <c r="AB33" s="42">
        <f t="shared" si="8"/>
        <v>0</v>
      </c>
      <c r="AC33" s="42">
        <f t="shared" si="8"/>
        <v>22257.82</v>
      </c>
      <c r="AD33" s="42">
        <f t="shared" si="8"/>
        <v>1271</v>
      </c>
      <c r="AE33" s="42">
        <f t="shared" si="8"/>
        <v>0</v>
      </c>
      <c r="AF33" s="42">
        <f t="shared" si="8"/>
        <v>0</v>
      </c>
      <c r="AG33" s="42">
        <f t="shared" si="8"/>
        <v>11482</v>
      </c>
      <c r="AH33" s="42">
        <f t="shared" si="8"/>
        <v>0</v>
      </c>
      <c r="AI33" s="42">
        <f t="shared" si="8"/>
        <v>8109.4</v>
      </c>
      <c r="AJ33" s="42">
        <f aca="true" t="shared" si="9" ref="AJ33:BH33">SUM(AJ34:AJ44)</f>
        <v>4864.84</v>
      </c>
      <c r="AK33" s="42">
        <f t="shared" si="9"/>
        <v>1429</v>
      </c>
      <c r="AL33" s="42">
        <f t="shared" si="9"/>
        <v>1933</v>
      </c>
      <c r="AM33" s="42">
        <f t="shared" si="9"/>
        <v>0</v>
      </c>
      <c r="AN33" s="42">
        <f t="shared" si="9"/>
        <v>58351.86</v>
      </c>
      <c r="AO33" s="42">
        <f t="shared" si="9"/>
        <v>460896.8</v>
      </c>
      <c r="AP33" s="42">
        <f t="shared" si="9"/>
        <v>2561</v>
      </c>
      <c r="AQ33" s="42">
        <f t="shared" si="9"/>
        <v>0</v>
      </c>
      <c r="AR33" s="42">
        <f t="shared" si="9"/>
        <v>0</v>
      </c>
      <c r="AS33" s="42">
        <f t="shared" si="9"/>
        <v>9508.21</v>
      </c>
      <c r="AT33" s="42">
        <f t="shared" si="9"/>
        <v>9530</v>
      </c>
      <c r="AU33" s="42">
        <f t="shared" si="9"/>
        <v>0</v>
      </c>
      <c r="AV33" s="42">
        <f t="shared" si="9"/>
        <v>13072</v>
      </c>
      <c r="AW33" s="42">
        <f t="shared" si="9"/>
        <v>10131.18</v>
      </c>
      <c r="AX33" s="42">
        <f t="shared" si="9"/>
        <v>16883.4</v>
      </c>
      <c r="AY33" s="42">
        <f t="shared" si="9"/>
        <v>1649</v>
      </c>
      <c r="AZ33" s="42">
        <f t="shared" si="9"/>
        <v>35639</v>
      </c>
      <c r="BA33" s="42">
        <f t="shared" si="9"/>
        <v>8</v>
      </c>
      <c r="BB33" s="42">
        <f t="shared" si="9"/>
        <v>3161.25</v>
      </c>
      <c r="BC33" s="42">
        <f t="shared" si="9"/>
        <v>18038</v>
      </c>
      <c r="BD33" s="42">
        <f t="shared" si="9"/>
        <v>1082.63</v>
      </c>
      <c r="BE33" s="42">
        <f t="shared" si="9"/>
        <v>35856.98</v>
      </c>
      <c r="BF33" s="42">
        <f t="shared" si="9"/>
        <v>41981</v>
      </c>
      <c r="BG33" s="42">
        <f t="shared" si="9"/>
        <v>62970.27</v>
      </c>
      <c r="BH33" s="42">
        <f t="shared" si="9"/>
        <v>374</v>
      </c>
      <c r="BK33" s="60"/>
    </row>
    <row r="34" spans="1:63" ht="12.75">
      <c r="A34" s="39"/>
      <c r="B34" s="77" t="s">
        <v>86</v>
      </c>
      <c r="C34" s="16"/>
      <c r="D34" s="40"/>
      <c r="E34" s="17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K34" s="60"/>
    </row>
    <row r="35" spans="1:63" ht="12.75">
      <c r="A35" s="39"/>
      <c r="B35" s="67" t="s">
        <v>99</v>
      </c>
      <c r="C35" s="16">
        <f t="shared" si="7"/>
        <v>59861.19</v>
      </c>
      <c r="D35" s="40"/>
      <c r="E35" s="17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>
        <v>1243</v>
      </c>
      <c r="Y35" s="40"/>
      <c r="Z35" s="40">
        <v>8643.89</v>
      </c>
      <c r="AA35" s="40"/>
      <c r="AB35" s="40"/>
      <c r="AC35" s="40"/>
      <c r="AD35" s="40"/>
      <c r="AE35" s="40"/>
      <c r="AF35" s="40"/>
      <c r="AG35" s="40">
        <v>792</v>
      </c>
      <c r="AH35" s="40"/>
      <c r="AI35" s="40">
        <v>4024.9</v>
      </c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>
        <v>16883.4</v>
      </c>
      <c r="AY35" s="40"/>
      <c r="AZ35" s="40"/>
      <c r="BA35" s="40"/>
      <c r="BB35" s="40"/>
      <c r="BC35" s="40"/>
      <c r="BD35" s="40"/>
      <c r="BE35" s="40"/>
      <c r="BF35" s="40">
        <v>28274</v>
      </c>
      <c r="BG35" s="40"/>
      <c r="BH35" s="40"/>
      <c r="BK35" s="60"/>
    </row>
    <row r="36" spans="1:63" ht="12.75">
      <c r="A36" s="39"/>
      <c r="B36" s="67" t="s">
        <v>100</v>
      </c>
      <c r="C36" s="16">
        <f t="shared" si="7"/>
        <v>3410675.86</v>
      </c>
      <c r="D36" s="40"/>
      <c r="E36" s="17">
        <v>154052</v>
      </c>
      <c r="F36" s="40"/>
      <c r="G36" s="40"/>
      <c r="H36" s="40"/>
      <c r="I36" s="40">
        <v>621292.08</v>
      </c>
      <c r="J36" s="40">
        <v>251214.69</v>
      </c>
      <c r="K36" s="40">
        <v>891774.7</v>
      </c>
      <c r="L36" s="40"/>
      <c r="M36" s="40">
        <v>697933.09</v>
      </c>
      <c r="N36" s="40">
        <v>258061.01</v>
      </c>
      <c r="O36" s="40"/>
      <c r="P36" s="40">
        <v>129204</v>
      </c>
      <c r="Q36" s="40"/>
      <c r="R36" s="40"/>
      <c r="S36" s="40"/>
      <c r="T36" s="40"/>
      <c r="U36" s="40"/>
      <c r="V36" s="40"/>
      <c r="W36" s="40">
        <v>10411.26</v>
      </c>
      <c r="X36" s="40"/>
      <c r="Y36" s="40">
        <v>68663.68</v>
      </c>
      <c r="Z36" s="40"/>
      <c r="AA36" s="40">
        <v>6722.36</v>
      </c>
      <c r="AB36" s="40"/>
      <c r="AC36" s="40">
        <v>22257.82</v>
      </c>
      <c r="AD36" s="40">
        <v>1271</v>
      </c>
      <c r="AE36" s="40"/>
      <c r="AF36" s="40"/>
      <c r="AG36" s="40">
        <v>10690</v>
      </c>
      <c r="AH36" s="40"/>
      <c r="AI36" s="40">
        <v>4084.5</v>
      </c>
      <c r="AJ36" s="40">
        <v>4864.84</v>
      </c>
      <c r="AK36" s="40">
        <v>1429</v>
      </c>
      <c r="AL36" s="40">
        <v>1933</v>
      </c>
      <c r="AM36" s="40"/>
      <c r="AN36" s="40">
        <v>58351.86</v>
      </c>
      <c r="AO36" s="40">
        <v>2814.45</v>
      </c>
      <c r="AP36" s="40">
        <v>2561</v>
      </c>
      <c r="AQ36" s="40"/>
      <c r="AR36" s="40"/>
      <c r="AS36" s="40">
        <v>9508.21</v>
      </c>
      <c r="AT36" s="40">
        <v>5892</v>
      </c>
      <c r="AU36" s="40"/>
      <c r="AV36" s="40">
        <v>13072</v>
      </c>
      <c r="AW36" s="40">
        <v>10131.18</v>
      </c>
      <c r="AX36" s="40"/>
      <c r="AY36" s="40">
        <v>1649</v>
      </c>
      <c r="AZ36" s="40">
        <v>35639</v>
      </c>
      <c r="BA36" s="40">
        <v>8</v>
      </c>
      <c r="BB36" s="40">
        <v>3161.25</v>
      </c>
      <c r="BC36" s="40">
        <v>18038</v>
      </c>
      <c r="BD36" s="40">
        <v>1082.63</v>
      </c>
      <c r="BE36" s="40">
        <v>35856.98</v>
      </c>
      <c r="BF36" s="40">
        <v>13707</v>
      </c>
      <c r="BG36" s="40">
        <v>62970.27</v>
      </c>
      <c r="BH36" s="40">
        <v>374</v>
      </c>
      <c r="BK36" s="60"/>
    </row>
    <row r="37" spans="1:63" ht="12.75">
      <c r="A37" s="39"/>
      <c r="B37" s="67" t="s">
        <v>101</v>
      </c>
      <c r="C37" s="16">
        <f t="shared" si="7"/>
        <v>3638</v>
      </c>
      <c r="D37" s="40"/>
      <c r="E37" s="17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>
        <v>3638</v>
      </c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K37" s="60"/>
    </row>
    <row r="38" spans="1:63" ht="12.75">
      <c r="A38" s="39"/>
      <c r="B38" s="67" t="s">
        <v>102</v>
      </c>
      <c r="C38" s="16">
        <f t="shared" si="7"/>
        <v>276033</v>
      </c>
      <c r="D38" s="40">
        <v>20580</v>
      </c>
      <c r="E38" s="17">
        <v>30</v>
      </c>
      <c r="F38" s="40"/>
      <c r="G38" s="40">
        <v>15846</v>
      </c>
      <c r="H38" s="40">
        <v>19430</v>
      </c>
      <c r="I38" s="40">
        <v>42464</v>
      </c>
      <c r="J38" s="40"/>
      <c r="K38" s="40">
        <v>33211</v>
      </c>
      <c r="L38" s="40">
        <v>14162</v>
      </c>
      <c r="M38" s="40">
        <v>57575</v>
      </c>
      <c r="N38" s="40">
        <v>4655</v>
      </c>
      <c r="O38" s="40">
        <v>24745</v>
      </c>
      <c r="P38" s="40">
        <v>16140</v>
      </c>
      <c r="Q38" s="40">
        <v>19600</v>
      </c>
      <c r="R38" s="40"/>
      <c r="S38" s="40"/>
      <c r="T38" s="40"/>
      <c r="U38" s="40"/>
      <c r="V38" s="40">
        <v>6125</v>
      </c>
      <c r="W38" s="40"/>
      <c r="X38" s="40"/>
      <c r="Y38" s="40">
        <v>1470</v>
      </c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K38" s="60"/>
    </row>
    <row r="39" spans="1:63" ht="12.75">
      <c r="A39" s="39"/>
      <c r="B39" s="89" t="s">
        <v>78</v>
      </c>
      <c r="C39" s="16">
        <f t="shared" si="7"/>
        <v>0</v>
      </c>
      <c r="D39" s="40"/>
      <c r="E39" s="17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K39" s="60"/>
    </row>
    <row r="40" spans="1:63" s="46" customFormat="1" ht="12.75">
      <c r="A40" s="43"/>
      <c r="B40" s="67" t="s">
        <v>108</v>
      </c>
      <c r="C40" s="44">
        <f t="shared" si="7"/>
        <v>1468475.3900000001</v>
      </c>
      <c r="D40" s="45"/>
      <c r="E40" s="56">
        <v>11020</v>
      </c>
      <c r="F40" s="45"/>
      <c r="G40" s="45"/>
      <c r="H40" s="45"/>
      <c r="I40" s="45">
        <v>144929.14</v>
      </c>
      <c r="J40" s="45">
        <v>113603.5</v>
      </c>
      <c r="K40" s="45"/>
      <c r="L40" s="45"/>
      <c r="M40" s="45">
        <v>1705.57</v>
      </c>
      <c r="N40" s="45">
        <v>244218.41</v>
      </c>
      <c r="O40" s="45"/>
      <c r="P40" s="45">
        <v>585363</v>
      </c>
      <c r="Q40" s="45">
        <v>367354.77</v>
      </c>
      <c r="R40" s="45"/>
      <c r="S40" s="45"/>
      <c r="T40" s="45"/>
      <c r="U40" s="45"/>
      <c r="V40" s="45"/>
      <c r="W40" s="45"/>
      <c r="X40" s="45">
        <v>281</v>
      </c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K40" s="60"/>
    </row>
    <row r="41" spans="1:63" s="46" customFormat="1" ht="12.75">
      <c r="A41" s="43"/>
      <c r="B41" s="67" t="s">
        <v>88</v>
      </c>
      <c r="C41" s="44">
        <f t="shared" si="7"/>
        <v>0</v>
      </c>
      <c r="D41" s="45"/>
      <c r="E41" s="56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K41" s="60"/>
    </row>
    <row r="42" spans="1:63" s="46" customFormat="1" ht="12.75">
      <c r="A42" s="43"/>
      <c r="B42" s="67" t="s">
        <v>109</v>
      </c>
      <c r="C42" s="44">
        <f t="shared" si="7"/>
        <v>94770.27</v>
      </c>
      <c r="D42" s="45"/>
      <c r="E42" s="56"/>
      <c r="F42" s="45"/>
      <c r="G42" s="45"/>
      <c r="H42" s="45"/>
      <c r="I42" s="45"/>
      <c r="J42" s="45"/>
      <c r="K42" s="45">
        <v>94770.27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K42" s="60"/>
    </row>
    <row r="43" spans="1:63" s="46" customFormat="1" ht="12.75">
      <c r="A43" s="43"/>
      <c r="B43" s="67" t="s">
        <v>110</v>
      </c>
      <c r="C43" s="44">
        <f t="shared" si="7"/>
        <v>2778766.4900000007</v>
      </c>
      <c r="D43" s="45"/>
      <c r="E43" s="56"/>
      <c r="F43" s="45"/>
      <c r="G43" s="45">
        <v>1295432</v>
      </c>
      <c r="H43" s="45">
        <v>229260.6</v>
      </c>
      <c r="I43" s="45"/>
      <c r="J43" s="45">
        <v>212444.8</v>
      </c>
      <c r="K43" s="45"/>
      <c r="L43" s="45">
        <v>255056</v>
      </c>
      <c r="M43" s="45">
        <v>65</v>
      </c>
      <c r="N43" s="45"/>
      <c r="O43" s="45">
        <v>34036</v>
      </c>
      <c r="P43" s="45">
        <v>95939</v>
      </c>
      <c r="Q43" s="45">
        <v>68554.74</v>
      </c>
      <c r="R43" s="45"/>
      <c r="S43" s="45"/>
      <c r="T43" s="45">
        <v>89390</v>
      </c>
      <c r="U43" s="45"/>
      <c r="V43" s="45"/>
      <c r="W43" s="45"/>
      <c r="X43" s="45">
        <v>65</v>
      </c>
      <c r="Y43" s="45">
        <v>40441</v>
      </c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>
        <v>458082.35</v>
      </c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K43" s="60"/>
    </row>
    <row r="44" spans="1:63" ht="12.75">
      <c r="A44" s="39"/>
      <c r="B44" s="67" t="s">
        <v>111</v>
      </c>
      <c r="C44" s="16">
        <f t="shared" si="7"/>
        <v>0</v>
      </c>
      <c r="D44" s="40"/>
      <c r="E44" s="1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K44" s="60"/>
    </row>
    <row r="45" spans="1:63" ht="12.75">
      <c r="A45" s="39"/>
      <c r="B45" s="76"/>
      <c r="C45" s="16"/>
      <c r="D45" s="40"/>
      <c r="E45" s="17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K45" s="60"/>
    </row>
    <row r="46" spans="1:63" s="25" customFormat="1" ht="12.75">
      <c r="A46" s="47" t="s">
        <v>64</v>
      </c>
      <c r="B46" s="99" t="s">
        <v>80</v>
      </c>
      <c r="C46" s="16">
        <f>SUM(D46:BH46)</f>
        <v>28536319.33999997</v>
      </c>
      <c r="D46" s="42">
        <f aca="true" t="shared" si="10" ref="D46:BH46">SUM(D48:D60)</f>
        <v>3990631.4999999963</v>
      </c>
      <c r="E46" s="42">
        <f t="shared" si="10"/>
        <v>420766.75</v>
      </c>
      <c r="F46" s="42">
        <f t="shared" si="10"/>
        <v>443788.20999999996</v>
      </c>
      <c r="G46" s="42">
        <f t="shared" si="10"/>
        <v>126621.08999999985</v>
      </c>
      <c r="H46" s="42">
        <f t="shared" si="10"/>
        <v>5363312.99</v>
      </c>
      <c r="I46" s="42">
        <f t="shared" si="10"/>
        <v>307076.5</v>
      </c>
      <c r="J46" s="42">
        <f t="shared" si="10"/>
        <v>459209.8499999931</v>
      </c>
      <c r="K46" s="42">
        <f t="shared" si="10"/>
        <v>328231.6099999973</v>
      </c>
      <c r="L46" s="42">
        <f t="shared" si="10"/>
        <v>41227.09</v>
      </c>
      <c r="M46" s="42">
        <f t="shared" si="10"/>
        <v>121277.25</v>
      </c>
      <c r="N46" s="42">
        <f t="shared" si="10"/>
        <v>320835.3100000011</v>
      </c>
      <c r="O46" s="42">
        <f t="shared" si="10"/>
        <v>1264000.13</v>
      </c>
      <c r="P46" s="42">
        <f t="shared" si="10"/>
        <v>385140.96999998984</v>
      </c>
      <c r="Q46" s="42">
        <f t="shared" si="10"/>
        <v>6183867.14</v>
      </c>
      <c r="R46" s="42">
        <f t="shared" si="10"/>
        <v>82075.75</v>
      </c>
      <c r="S46" s="42">
        <f t="shared" si="10"/>
        <v>2603822.160000001</v>
      </c>
      <c r="T46" s="42">
        <f t="shared" si="10"/>
        <v>17586.48999999999</v>
      </c>
      <c r="U46" s="42">
        <f t="shared" si="10"/>
        <v>35265.41000000015</v>
      </c>
      <c r="V46" s="42">
        <f t="shared" si="10"/>
        <v>9244</v>
      </c>
      <c r="W46" s="42">
        <f t="shared" si="10"/>
        <v>132215.8</v>
      </c>
      <c r="X46" s="42">
        <f t="shared" si="10"/>
        <v>26257.839999999964</v>
      </c>
      <c r="Y46" s="42">
        <f t="shared" si="10"/>
        <v>108151.53000000119</v>
      </c>
      <c r="Z46" s="42">
        <f t="shared" si="10"/>
        <v>233.75</v>
      </c>
      <c r="AA46" s="42">
        <f t="shared" si="10"/>
        <v>0</v>
      </c>
      <c r="AB46" s="42">
        <f t="shared" si="10"/>
        <v>54424</v>
      </c>
      <c r="AC46" s="42">
        <f t="shared" si="10"/>
        <v>73532.1500000018</v>
      </c>
      <c r="AD46" s="42">
        <f t="shared" si="10"/>
        <v>0</v>
      </c>
      <c r="AE46" s="42">
        <f t="shared" si="10"/>
        <v>1030192.5</v>
      </c>
      <c r="AF46" s="42">
        <f t="shared" si="10"/>
        <v>420</v>
      </c>
      <c r="AG46" s="42">
        <f t="shared" si="10"/>
        <v>60829.25</v>
      </c>
      <c r="AH46" s="42">
        <f t="shared" si="10"/>
        <v>22307.91999999553</v>
      </c>
      <c r="AI46" s="42">
        <f t="shared" si="10"/>
        <v>745480.4199999995</v>
      </c>
      <c r="AJ46" s="42">
        <f t="shared" si="10"/>
        <v>256407.43000000017</v>
      </c>
      <c r="AK46" s="42">
        <f t="shared" si="10"/>
        <v>61508.2</v>
      </c>
      <c r="AL46" s="42">
        <f t="shared" si="10"/>
        <v>72964.39000000001</v>
      </c>
      <c r="AM46" s="42">
        <f t="shared" si="10"/>
        <v>20000</v>
      </c>
      <c r="AN46" s="42">
        <f t="shared" si="10"/>
        <v>30768.900000000373</v>
      </c>
      <c r="AO46" s="42">
        <f t="shared" si="10"/>
        <v>1958681.7800000003</v>
      </c>
      <c r="AP46" s="42">
        <f t="shared" si="10"/>
        <v>8021.4</v>
      </c>
      <c r="AQ46" s="42">
        <f t="shared" si="10"/>
        <v>39400</v>
      </c>
      <c r="AR46" s="42">
        <f t="shared" si="10"/>
        <v>25318</v>
      </c>
      <c r="AS46" s="42">
        <f t="shared" si="10"/>
        <v>20062.39</v>
      </c>
      <c r="AT46" s="42">
        <f t="shared" si="10"/>
        <v>0</v>
      </c>
      <c r="AU46" s="42">
        <f t="shared" si="10"/>
        <v>198231.4</v>
      </c>
      <c r="AV46" s="42">
        <f t="shared" si="10"/>
        <v>333.5</v>
      </c>
      <c r="AW46" s="42">
        <f t="shared" si="10"/>
        <v>425</v>
      </c>
      <c r="AX46" s="42">
        <f t="shared" si="10"/>
        <v>28282.68</v>
      </c>
      <c r="AY46" s="42">
        <f t="shared" si="10"/>
        <v>2260.51</v>
      </c>
      <c r="AZ46" s="42">
        <f t="shared" si="10"/>
        <v>12874.25</v>
      </c>
      <c r="BA46" s="42">
        <f t="shared" si="10"/>
        <v>417273.4999999999</v>
      </c>
      <c r="BB46" s="42">
        <f t="shared" si="10"/>
        <v>900</v>
      </c>
      <c r="BC46" s="42">
        <f t="shared" si="10"/>
        <v>20000</v>
      </c>
      <c r="BD46" s="42">
        <f t="shared" si="10"/>
        <v>14017.479999999814</v>
      </c>
      <c r="BE46" s="42">
        <f t="shared" si="10"/>
        <v>1717.24</v>
      </c>
      <c r="BF46" s="42">
        <f t="shared" si="10"/>
        <v>23941.5</v>
      </c>
      <c r="BG46" s="42">
        <f t="shared" si="10"/>
        <v>540486.9299999997</v>
      </c>
      <c r="BH46" s="42">
        <f t="shared" si="10"/>
        <v>24417.5</v>
      </c>
      <c r="BK46" s="60"/>
    </row>
    <row r="47" spans="1:63" s="25" customFormat="1" ht="12.75">
      <c r="A47" s="47"/>
      <c r="B47" s="100" t="s">
        <v>86</v>
      </c>
      <c r="C47" s="16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K47" s="60"/>
    </row>
    <row r="48" spans="1:63" ht="12.75">
      <c r="A48" s="39"/>
      <c r="B48" s="92" t="s">
        <v>112</v>
      </c>
      <c r="C48" s="16">
        <f aca="true" t="shared" si="11" ref="C48:C60">SUM(D48:BH48)</f>
        <v>9926842.799999993</v>
      </c>
      <c r="D48" s="40"/>
      <c r="E48" s="17"/>
      <c r="F48" s="40"/>
      <c r="G48" s="40">
        <f>22703039.43-22694108.84</f>
        <v>8930.589999999851</v>
      </c>
      <c r="H48" s="40"/>
      <c r="I48" s="40"/>
      <c r="J48" s="40">
        <f>49678167.98-49610709.34</f>
        <v>67458.63999999315</v>
      </c>
      <c r="K48" s="40">
        <f>23809607.11-23808449.59</f>
        <v>1157.519999999553</v>
      </c>
      <c r="L48" s="40"/>
      <c r="M48" s="40"/>
      <c r="N48" s="40">
        <f>94054972.59-94020951.59</f>
        <v>34021</v>
      </c>
      <c r="O48" s="40">
        <f>29806904-28948750</f>
        <v>858154</v>
      </c>
      <c r="P48" s="40"/>
      <c r="Q48" s="40">
        <f>44904389.46-38904389.46</f>
        <v>6000000</v>
      </c>
      <c r="R48" s="40"/>
      <c r="S48" s="40">
        <f>8982232.3-6405925.88</f>
        <v>2576306.420000001</v>
      </c>
      <c r="T48" s="40">
        <f>279595.69-277139.2</f>
        <v>2456.4899999999907</v>
      </c>
      <c r="U48" s="40">
        <f>5002400.41-5000000</f>
        <v>2400.410000000149</v>
      </c>
      <c r="V48" s="40"/>
      <c r="W48" s="40"/>
      <c r="X48" s="40"/>
      <c r="Y48" s="40">
        <f>81102433.13-81101911.85</f>
        <v>521.2800000011921</v>
      </c>
      <c r="Z48" s="40"/>
      <c r="AA48" s="40"/>
      <c r="AB48" s="40"/>
      <c r="AC48" s="40">
        <f>23698630.21-23682437.04</f>
        <v>16193.170000001788</v>
      </c>
      <c r="AD48" s="40"/>
      <c r="AE48" s="40"/>
      <c r="AF48" s="40"/>
      <c r="AG48" s="40"/>
      <c r="AH48" s="45">
        <f>62258638.04-62258637.84</f>
        <v>0.19999999552965164</v>
      </c>
      <c r="AI48" s="40">
        <f>13729565.02-13650644.08</f>
        <v>78920.93999999948</v>
      </c>
      <c r="AJ48" s="40"/>
      <c r="AK48" s="40"/>
      <c r="AL48" s="40">
        <f>167321.97-152655.33</f>
        <v>14666.640000000014</v>
      </c>
      <c r="AM48" s="40"/>
      <c r="AN48" s="40">
        <f>10344095.17-10338326.27</f>
        <v>5768.9000000003725</v>
      </c>
      <c r="AO48" s="40"/>
      <c r="AP48" s="40">
        <f>4800571.87-4797285.87</f>
        <v>3286</v>
      </c>
      <c r="AQ48" s="40">
        <v>39400</v>
      </c>
      <c r="AR48" s="40">
        <f>43303239.35-43292009.35</f>
        <v>11230</v>
      </c>
      <c r="AS48" s="40">
        <f>19363862.74-19356524.74</f>
        <v>7338</v>
      </c>
      <c r="AT48" s="40"/>
      <c r="AU48" s="40">
        <f>5106032-4951292</f>
        <v>154740</v>
      </c>
      <c r="AV48" s="40"/>
      <c r="AW48" s="40">
        <f>18367977.59-18367552.59</f>
        <v>425</v>
      </c>
      <c r="AX48" s="40"/>
      <c r="AY48" s="40"/>
      <c r="AZ48" s="40"/>
      <c r="BA48" s="40">
        <f>4327460.67-4308365</f>
        <v>19095.669999999925</v>
      </c>
      <c r="BB48" s="40"/>
      <c r="BC48" s="40"/>
      <c r="BD48" s="40">
        <f>1879355.36-1879305.36</f>
        <v>50</v>
      </c>
      <c r="BE48" s="40">
        <v>250</v>
      </c>
      <c r="BF48" s="40"/>
      <c r="BG48" s="40">
        <f>15404181.93-15380210</f>
        <v>23971.929999999702</v>
      </c>
      <c r="BH48" s="45">
        <f>41403300-41403200</f>
        <v>100</v>
      </c>
      <c r="BK48" s="60"/>
    </row>
    <row r="49" spans="1:63" ht="12.75">
      <c r="A49" s="39"/>
      <c r="B49" s="92" t="s">
        <v>113</v>
      </c>
      <c r="C49" s="16">
        <f t="shared" si="11"/>
        <v>0</v>
      </c>
      <c r="D49" s="40"/>
      <c r="E49" s="17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K49" s="60"/>
    </row>
    <row r="50" spans="1:63" ht="12.75">
      <c r="A50" s="39"/>
      <c r="B50" s="92" t="s">
        <v>114</v>
      </c>
      <c r="C50" s="16">
        <f t="shared" si="11"/>
        <v>0</v>
      </c>
      <c r="D50" s="40"/>
      <c r="E50" s="1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K50" s="60"/>
    </row>
    <row r="51" spans="1:63" s="46" customFormat="1" ht="12.75">
      <c r="A51" s="43"/>
      <c r="B51" s="92" t="s">
        <v>115</v>
      </c>
      <c r="C51" s="16">
        <f t="shared" si="11"/>
        <v>2119585.8700000006</v>
      </c>
      <c r="D51" s="45">
        <f>556482-500000</f>
        <v>56482</v>
      </c>
      <c r="E51" s="56">
        <f>4196940-4185000</f>
        <v>11940</v>
      </c>
      <c r="F51" s="45">
        <v>71212</v>
      </c>
      <c r="G51" s="45">
        <v>46346</v>
      </c>
      <c r="H51" s="45">
        <v>224740</v>
      </c>
      <c r="I51" s="45">
        <f>2606147.77-2461167.77</f>
        <v>144980</v>
      </c>
      <c r="J51" s="45">
        <f>3385920-3288000</f>
        <v>97920</v>
      </c>
      <c r="K51" s="45">
        <f>3417724.48-3300000</f>
        <v>117724.47999999998</v>
      </c>
      <c r="L51" s="45"/>
      <c r="M51" s="45">
        <v>54454</v>
      </c>
      <c r="N51" s="45">
        <f>8700294.4-8665032.95</f>
        <v>35261.45000000112</v>
      </c>
      <c r="O51" s="45">
        <v>280720.9</v>
      </c>
      <c r="P51" s="45">
        <v>52800</v>
      </c>
      <c r="Q51" s="45">
        <v>86898</v>
      </c>
      <c r="R51" s="45">
        <v>75760</v>
      </c>
      <c r="S51" s="45">
        <f>119262.99-92391</f>
        <v>26871.990000000005</v>
      </c>
      <c r="T51" s="45">
        <f>224955-200000-10185</f>
        <v>14770</v>
      </c>
      <c r="U51" s="45">
        <f>79255.2-50315.2</f>
        <v>28940</v>
      </c>
      <c r="V51" s="45">
        <v>40</v>
      </c>
      <c r="W51" s="45">
        <v>132185.8</v>
      </c>
      <c r="X51" s="45">
        <v>23325.88</v>
      </c>
      <c r="Y51" s="45">
        <v>70000</v>
      </c>
      <c r="Z51" s="45"/>
      <c r="AA51" s="45"/>
      <c r="AB51" s="45">
        <v>54374</v>
      </c>
      <c r="AC51" s="45">
        <f>158445.48-102978.5</f>
        <v>55466.98000000001</v>
      </c>
      <c r="AD51" s="45"/>
      <c r="AE51" s="45"/>
      <c r="AF51" s="45"/>
      <c r="AG51" s="45"/>
      <c r="AH51" s="45">
        <v>20000.22</v>
      </c>
      <c r="AI51" s="45">
        <f>1239353.64-1239273.64</f>
        <v>80</v>
      </c>
      <c r="AJ51" s="45"/>
      <c r="AK51" s="45">
        <f>162300-112300</f>
        <v>50000</v>
      </c>
      <c r="AL51" s="45"/>
      <c r="AM51" s="45">
        <v>20000</v>
      </c>
      <c r="AN51" s="45">
        <v>24100</v>
      </c>
      <c r="AO51" s="45">
        <v>90055.46</v>
      </c>
      <c r="AP51" s="45">
        <v>0.6</v>
      </c>
      <c r="AQ51" s="45"/>
      <c r="AR51" s="45">
        <v>6228</v>
      </c>
      <c r="AS51" s="45">
        <v>8419.7</v>
      </c>
      <c r="AT51" s="45"/>
      <c r="AU51" s="45">
        <v>42635.9</v>
      </c>
      <c r="AV51" s="45"/>
      <c r="AW51" s="45"/>
      <c r="AX51" s="45">
        <v>28282.68</v>
      </c>
      <c r="AY51" s="45">
        <v>500</v>
      </c>
      <c r="AZ51" s="45"/>
      <c r="BA51" s="45">
        <f>51697.64-49586.86</f>
        <v>2110.779999999999</v>
      </c>
      <c r="BB51" s="45">
        <v>900</v>
      </c>
      <c r="BC51" s="45">
        <f>79810-59810</f>
        <v>20000</v>
      </c>
      <c r="BD51" s="45">
        <f>2488699.05-2480640</f>
        <v>8059.049999999814</v>
      </c>
      <c r="BE51" s="45">
        <v>40</v>
      </c>
      <c r="BF51" s="45">
        <f>171767-160067</f>
        <v>11700</v>
      </c>
      <c r="BG51" s="45"/>
      <c r="BH51" s="45">
        <v>23260</v>
      </c>
      <c r="BK51" s="95"/>
    </row>
    <row r="52" spans="1:63" s="46" customFormat="1" ht="12.75">
      <c r="A52" s="43"/>
      <c r="B52" s="92" t="s">
        <v>116</v>
      </c>
      <c r="C52" s="16">
        <f t="shared" si="11"/>
        <v>235849</v>
      </c>
      <c r="D52" s="45"/>
      <c r="E52" s="56"/>
      <c r="F52" s="45"/>
      <c r="G52" s="45">
        <v>3608</v>
      </c>
      <c r="H52" s="45">
        <v>3217</v>
      </c>
      <c r="I52" s="45"/>
      <c r="J52" s="45"/>
      <c r="K52" s="45"/>
      <c r="L52" s="45"/>
      <c r="M52" s="45"/>
      <c r="N52" s="45">
        <v>229024</v>
      </c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K52" s="95"/>
    </row>
    <row r="53" spans="1:63" s="46" customFormat="1" ht="12.75">
      <c r="A53" s="43"/>
      <c r="B53" s="92" t="s">
        <v>117</v>
      </c>
      <c r="C53" s="16">
        <f t="shared" si="11"/>
        <v>51171</v>
      </c>
      <c r="D53" s="45">
        <v>13390</v>
      </c>
      <c r="E53" s="56">
        <v>10390</v>
      </c>
      <c r="F53" s="45">
        <v>13400</v>
      </c>
      <c r="G53" s="45"/>
      <c r="H53" s="45"/>
      <c r="I53" s="45"/>
      <c r="J53" s="45"/>
      <c r="K53" s="45"/>
      <c r="L53" s="45"/>
      <c r="M53" s="45">
        <v>7140</v>
      </c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>
        <v>6851</v>
      </c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K53" s="95"/>
    </row>
    <row r="54" spans="1:256" s="66" customFormat="1" ht="12.75">
      <c r="A54" s="63"/>
      <c r="B54" s="92" t="s">
        <v>118</v>
      </c>
      <c r="C54" s="16">
        <f t="shared" si="11"/>
        <v>43865</v>
      </c>
      <c r="D54" s="64"/>
      <c r="E54" s="65"/>
      <c r="F54" s="64">
        <v>700</v>
      </c>
      <c r="G54" s="64"/>
      <c r="H54" s="64">
        <v>19</v>
      </c>
      <c r="I54" s="64"/>
      <c r="J54" s="64">
        <v>25000</v>
      </c>
      <c r="K54" s="64"/>
      <c r="L54" s="64"/>
      <c r="M54" s="64"/>
      <c r="N54" s="64"/>
      <c r="O54" s="64">
        <v>3000</v>
      </c>
      <c r="P54" s="64">
        <v>15000</v>
      </c>
      <c r="Q54" s="64">
        <v>146</v>
      </c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96"/>
      <c r="BJ54" s="96"/>
      <c r="BK54" s="97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spans="1:256" s="66" customFormat="1" ht="12.75">
      <c r="A55" s="63"/>
      <c r="B55" s="98" t="s">
        <v>119</v>
      </c>
      <c r="C55" s="16">
        <f t="shared" si="11"/>
        <v>13682638.589999985</v>
      </c>
      <c r="D55" s="64">
        <f>34088813.37-30449726.37</f>
        <v>3639086.9999999963</v>
      </c>
      <c r="E55" s="65"/>
      <c r="F55" s="64">
        <f>3988600-3988600</f>
        <v>0</v>
      </c>
      <c r="G55" s="64"/>
      <c r="H55" s="64">
        <f>81928545.28-76839242.78</f>
        <v>5089302.5</v>
      </c>
      <c r="I55" s="64"/>
      <c r="J55" s="64"/>
      <c r="K55" s="64">
        <f>18788589.72-18788589.37</f>
        <v>0.3499999977648258</v>
      </c>
      <c r="L55" s="64"/>
      <c r="M55" s="64"/>
      <c r="N55" s="64"/>
      <c r="O55" s="64">
        <f>114135750.55-114025100.55</f>
        <v>110650</v>
      </c>
      <c r="P55" s="64">
        <f>68629939.63-68544690.01</f>
        <v>85249.61999998987</v>
      </c>
      <c r="Q55" s="64">
        <f>1517613.66-1517613.6</f>
        <v>0.05999999982304871</v>
      </c>
      <c r="R55" s="64"/>
      <c r="S55" s="64"/>
      <c r="T55" s="64"/>
      <c r="U55" s="64"/>
      <c r="V55" s="64"/>
      <c r="W55" s="64"/>
      <c r="X55" s="64">
        <f>4275933.55-4275150.34</f>
        <v>783.2099999999627</v>
      </c>
      <c r="Y55" s="64"/>
      <c r="Z55" s="64"/>
      <c r="AA55" s="64"/>
      <c r="AB55" s="64"/>
      <c r="AC55" s="64"/>
      <c r="AD55" s="64"/>
      <c r="AE55" s="64">
        <f>50854883.41-49854883.41</f>
        <v>1000000</v>
      </c>
      <c r="AF55" s="64">
        <f>3907107.98-3906687.98</f>
        <v>420</v>
      </c>
      <c r="AG55" s="64"/>
      <c r="AH55" s="64"/>
      <c r="AI55" s="64">
        <v>665666.73</v>
      </c>
      <c r="AJ55" s="64">
        <f>3073834.93-2817592.5</f>
        <v>256242.43000000017</v>
      </c>
      <c r="AK55" s="64">
        <f>155468.46-145466.46</f>
        <v>10002</v>
      </c>
      <c r="AL55" s="64">
        <v>58297.75</v>
      </c>
      <c r="AM55" s="64"/>
      <c r="AN55" s="64"/>
      <c r="AO55" s="64">
        <f>11729389.81-9860763.49</f>
        <v>1868626.3200000003</v>
      </c>
      <c r="AP55" s="64">
        <v>49.3</v>
      </c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>
        <v>396067.05</v>
      </c>
      <c r="BB55" s="64"/>
      <c r="BC55" s="64"/>
      <c r="BD55" s="64">
        <v>2944.27</v>
      </c>
      <c r="BE55" s="64"/>
      <c r="BF55" s="64"/>
      <c r="BG55" s="64">
        <f>45216940.14-44717690.14</f>
        <v>499250</v>
      </c>
      <c r="BH55" s="64"/>
      <c r="BI55" s="96"/>
      <c r="BJ55" s="96"/>
      <c r="BK55" s="97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6"/>
      <c r="IK55" s="96"/>
      <c r="IL55" s="96"/>
      <c r="IM55" s="96"/>
      <c r="IN55" s="96"/>
      <c r="IO55" s="96"/>
      <c r="IP55" s="96"/>
      <c r="IQ55" s="96"/>
      <c r="IR55" s="96"/>
      <c r="IS55" s="96"/>
      <c r="IT55" s="96"/>
      <c r="IU55" s="96"/>
      <c r="IV55" s="96"/>
    </row>
    <row r="56" spans="1:63" s="46" customFormat="1" ht="14.25" customHeight="1">
      <c r="A56" s="43"/>
      <c r="B56" s="98" t="s">
        <v>120</v>
      </c>
      <c r="C56" s="16">
        <f t="shared" si="11"/>
        <v>353631.50999999995</v>
      </c>
      <c r="D56" s="45"/>
      <c r="E56" s="56"/>
      <c r="F56" s="45">
        <f>3141090-1330000-968700-706600</f>
        <v>135790</v>
      </c>
      <c r="G56" s="45"/>
      <c r="H56" s="45"/>
      <c r="I56" s="45"/>
      <c r="J56" s="45">
        <f>1717180.21-1533907</f>
        <v>183273.20999999996</v>
      </c>
      <c r="K56" s="45"/>
      <c r="L56" s="45"/>
      <c r="M56" s="45"/>
      <c r="N56" s="45"/>
      <c r="O56" s="45"/>
      <c r="P56" s="45">
        <v>31604.14</v>
      </c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>
        <v>2964.16</v>
      </c>
      <c r="BE56" s="45"/>
      <c r="BF56" s="45"/>
      <c r="BG56" s="45"/>
      <c r="BH56" s="45"/>
      <c r="BK56" s="95"/>
    </row>
    <row r="57" spans="1:63" s="66" customFormat="1" ht="25.5">
      <c r="A57" s="63"/>
      <c r="B57" s="98" t="s">
        <v>121</v>
      </c>
      <c r="C57" s="16">
        <f t="shared" si="11"/>
        <v>0</v>
      </c>
      <c r="D57" s="64"/>
      <c r="E57" s="65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K57" s="60"/>
    </row>
    <row r="58" spans="1:63" s="66" customFormat="1" ht="25.5">
      <c r="A58" s="63"/>
      <c r="B58" s="98" t="s">
        <v>122</v>
      </c>
      <c r="C58" s="16">
        <f t="shared" si="11"/>
        <v>0</v>
      </c>
      <c r="D58" s="64"/>
      <c r="E58" s="65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K58" s="60"/>
    </row>
    <row r="59" spans="1:63" ht="12.75">
      <c r="A59" s="39"/>
      <c r="B59" s="89" t="s">
        <v>77</v>
      </c>
      <c r="C59" s="16">
        <f t="shared" si="11"/>
        <v>2122705.5700000003</v>
      </c>
      <c r="D59" s="40">
        <v>281672.5</v>
      </c>
      <c r="E59" s="17">
        <v>398436.75</v>
      </c>
      <c r="F59" s="40">
        <v>222686.21</v>
      </c>
      <c r="G59" s="40">
        <v>67736.5</v>
      </c>
      <c r="H59" s="40">
        <v>46034.49</v>
      </c>
      <c r="I59" s="40">
        <v>162096.5</v>
      </c>
      <c r="J59" s="40">
        <v>85558</v>
      </c>
      <c r="K59" s="40">
        <v>209349.26</v>
      </c>
      <c r="L59" s="40">
        <v>41227.09</v>
      </c>
      <c r="M59" s="40">
        <v>59683.25</v>
      </c>
      <c r="N59" s="40">
        <v>22528.86</v>
      </c>
      <c r="O59" s="40">
        <v>11475.23</v>
      </c>
      <c r="P59" s="40">
        <v>200487.21</v>
      </c>
      <c r="Q59" s="40">
        <v>96823.08</v>
      </c>
      <c r="R59" s="40">
        <v>6315.75</v>
      </c>
      <c r="S59" s="40">
        <v>643.75</v>
      </c>
      <c r="T59" s="40">
        <v>360</v>
      </c>
      <c r="U59" s="40">
        <v>3925</v>
      </c>
      <c r="V59" s="40">
        <v>9204</v>
      </c>
      <c r="W59" s="40"/>
      <c r="X59" s="40">
        <v>2148.75</v>
      </c>
      <c r="Y59" s="40">
        <v>30779.25</v>
      </c>
      <c r="Z59" s="40">
        <v>233.75</v>
      </c>
      <c r="AA59" s="40"/>
      <c r="AB59" s="40">
        <v>50</v>
      </c>
      <c r="AC59" s="40">
        <v>1872</v>
      </c>
      <c r="AD59" s="40"/>
      <c r="AE59" s="40">
        <v>30192.5</v>
      </c>
      <c r="AF59" s="40"/>
      <c r="AG59" s="40">
        <v>60829.25</v>
      </c>
      <c r="AH59" s="40">
        <v>2307.5</v>
      </c>
      <c r="AI59" s="40">
        <v>812.75</v>
      </c>
      <c r="AJ59" s="40">
        <v>165</v>
      </c>
      <c r="AK59" s="40">
        <v>1506.2</v>
      </c>
      <c r="AL59" s="40"/>
      <c r="AM59" s="40"/>
      <c r="AN59" s="40">
        <v>900</v>
      </c>
      <c r="AO59" s="40"/>
      <c r="AP59" s="40">
        <v>4685.5</v>
      </c>
      <c r="AQ59" s="40"/>
      <c r="AR59" s="40">
        <v>7860</v>
      </c>
      <c r="AS59" s="40">
        <v>4304.69</v>
      </c>
      <c r="AT59" s="40"/>
      <c r="AU59" s="40">
        <v>855.5</v>
      </c>
      <c r="AV59" s="40">
        <v>333.5</v>
      </c>
      <c r="AW59" s="40"/>
      <c r="AX59" s="40"/>
      <c r="AY59" s="40">
        <v>1760.51</v>
      </c>
      <c r="AZ59" s="40">
        <v>12874.25</v>
      </c>
      <c r="BA59" s="40"/>
      <c r="BB59" s="40"/>
      <c r="BC59" s="40"/>
      <c r="BD59" s="40"/>
      <c r="BE59" s="40">
        <v>1427.24</v>
      </c>
      <c r="BF59" s="40">
        <v>12241.5</v>
      </c>
      <c r="BG59" s="40">
        <v>17265</v>
      </c>
      <c r="BH59" s="40">
        <v>1057.5</v>
      </c>
      <c r="BK59" s="60"/>
    </row>
    <row r="60" spans="1:63" ht="12.75">
      <c r="A60" s="39"/>
      <c r="B60" s="89" t="s">
        <v>90</v>
      </c>
      <c r="C60" s="16">
        <f t="shared" si="11"/>
        <v>30</v>
      </c>
      <c r="D60" s="40"/>
      <c r="E60" s="17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>
        <v>30</v>
      </c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K60" s="60"/>
    </row>
    <row r="61" spans="1:63" ht="13.5" thickBot="1">
      <c r="A61" s="15"/>
      <c r="B61" s="76"/>
      <c r="C61" s="16"/>
      <c r="D61" s="40"/>
      <c r="E61" s="17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K61" s="60"/>
    </row>
    <row r="62" spans="1:63" s="35" customFormat="1" ht="14.25" thickBot="1" thickTop="1">
      <c r="A62" s="48" t="s">
        <v>66</v>
      </c>
      <c r="B62" s="90" t="s">
        <v>93</v>
      </c>
      <c r="C62" s="49">
        <f aca="true" t="shared" si="12" ref="C62:C70">SUM(D62:BH62)</f>
        <v>36628539.53999997</v>
      </c>
      <c r="D62" s="49">
        <f aca="true" t="shared" si="13" ref="D62:AI62">SUM(D33,D46)</f>
        <v>4011211.4999999963</v>
      </c>
      <c r="E62" s="49">
        <f t="shared" si="13"/>
        <v>585868.75</v>
      </c>
      <c r="F62" s="49">
        <f t="shared" si="13"/>
        <v>443788.20999999996</v>
      </c>
      <c r="G62" s="49">
        <f t="shared" si="13"/>
        <v>1437899.0899999999</v>
      </c>
      <c r="H62" s="49">
        <f t="shared" si="13"/>
        <v>5612003.59</v>
      </c>
      <c r="I62" s="49">
        <f t="shared" si="13"/>
        <v>1115761.72</v>
      </c>
      <c r="J62" s="49">
        <f t="shared" si="13"/>
        <v>1036472.8399999931</v>
      </c>
      <c r="K62" s="49">
        <f t="shared" si="13"/>
        <v>1347987.5799999973</v>
      </c>
      <c r="L62" s="49">
        <f t="shared" si="13"/>
        <v>310445.08999999997</v>
      </c>
      <c r="M62" s="49">
        <f t="shared" si="13"/>
        <v>878555.9099999999</v>
      </c>
      <c r="N62" s="49">
        <f t="shared" si="13"/>
        <v>827769.7300000011</v>
      </c>
      <c r="O62" s="49">
        <f t="shared" si="13"/>
        <v>1322781.13</v>
      </c>
      <c r="P62" s="49">
        <f t="shared" si="13"/>
        <v>1211786.96999999</v>
      </c>
      <c r="Q62" s="49">
        <f t="shared" si="13"/>
        <v>6639376.649999999</v>
      </c>
      <c r="R62" s="49">
        <f t="shared" si="13"/>
        <v>82075.75</v>
      </c>
      <c r="S62" s="49">
        <f t="shared" si="13"/>
        <v>2603822.160000001</v>
      </c>
      <c r="T62" s="49">
        <f t="shared" si="13"/>
        <v>106976.48999999999</v>
      </c>
      <c r="U62" s="49">
        <f t="shared" si="13"/>
        <v>35265.41000000015</v>
      </c>
      <c r="V62" s="49">
        <f t="shared" si="13"/>
        <v>15369</v>
      </c>
      <c r="W62" s="49">
        <f t="shared" si="13"/>
        <v>142627.06</v>
      </c>
      <c r="X62" s="49">
        <f t="shared" si="13"/>
        <v>27846.839999999964</v>
      </c>
      <c r="Y62" s="49">
        <f t="shared" si="13"/>
        <v>218726.21000000119</v>
      </c>
      <c r="Z62" s="49">
        <f t="shared" si="13"/>
        <v>8877.64</v>
      </c>
      <c r="AA62" s="49">
        <f t="shared" si="13"/>
        <v>6722.36</v>
      </c>
      <c r="AB62" s="49">
        <f t="shared" si="13"/>
        <v>54424</v>
      </c>
      <c r="AC62" s="49">
        <f t="shared" si="13"/>
        <v>95789.9700000018</v>
      </c>
      <c r="AD62" s="49">
        <f t="shared" si="13"/>
        <v>1271</v>
      </c>
      <c r="AE62" s="49">
        <f t="shared" si="13"/>
        <v>1030192.5</v>
      </c>
      <c r="AF62" s="49">
        <f t="shared" si="13"/>
        <v>420</v>
      </c>
      <c r="AG62" s="49">
        <f t="shared" si="13"/>
        <v>72311.25</v>
      </c>
      <c r="AH62" s="49">
        <f t="shared" si="13"/>
        <v>22307.91999999553</v>
      </c>
      <c r="AI62" s="49">
        <f t="shared" si="13"/>
        <v>753589.8199999995</v>
      </c>
      <c r="AJ62" s="49">
        <f aca="true" t="shared" si="14" ref="AJ62:BH62">SUM(AJ33,AJ46)</f>
        <v>261272.27000000016</v>
      </c>
      <c r="AK62" s="49">
        <f t="shared" si="14"/>
        <v>62937.2</v>
      </c>
      <c r="AL62" s="49">
        <f t="shared" si="14"/>
        <v>74897.39000000001</v>
      </c>
      <c r="AM62" s="49">
        <f t="shared" si="14"/>
        <v>20000</v>
      </c>
      <c r="AN62" s="49">
        <f t="shared" si="14"/>
        <v>89120.76000000037</v>
      </c>
      <c r="AO62" s="49">
        <f t="shared" si="14"/>
        <v>2419578.58</v>
      </c>
      <c r="AP62" s="49">
        <f t="shared" si="14"/>
        <v>10582.4</v>
      </c>
      <c r="AQ62" s="49">
        <f t="shared" si="14"/>
        <v>39400</v>
      </c>
      <c r="AR62" s="49">
        <f t="shared" si="14"/>
        <v>25318</v>
      </c>
      <c r="AS62" s="49">
        <f t="shared" si="14"/>
        <v>29570.6</v>
      </c>
      <c r="AT62" s="49">
        <f t="shared" si="14"/>
        <v>9530</v>
      </c>
      <c r="AU62" s="49">
        <f t="shared" si="14"/>
        <v>198231.4</v>
      </c>
      <c r="AV62" s="49">
        <f t="shared" si="14"/>
        <v>13405.5</v>
      </c>
      <c r="AW62" s="49">
        <f t="shared" si="14"/>
        <v>10556.18</v>
      </c>
      <c r="AX62" s="49">
        <f t="shared" si="14"/>
        <v>45166.08</v>
      </c>
      <c r="AY62" s="49">
        <f t="shared" si="14"/>
        <v>3909.51</v>
      </c>
      <c r="AZ62" s="49">
        <f t="shared" si="14"/>
        <v>48513.25</v>
      </c>
      <c r="BA62" s="49">
        <f t="shared" si="14"/>
        <v>417281.4999999999</v>
      </c>
      <c r="BB62" s="49">
        <f t="shared" si="14"/>
        <v>4061.25</v>
      </c>
      <c r="BC62" s="49">
        <f t="shared" si="14"/>
        <v>38038</v>
      </c>
      <c r="BD62" s="49">
        <f t="shared" si="14"/>
        <v>15100.109999999815</v>
      </c>
      <c r="BE62" s="49">
        <f t="shared" si="14"/>
        <v>37574.22</v>
      </c>
      <c r="BF62" s="49">
        <f t="shared" si="14"/>
        <v>65922.5</v>
      </c>
      <c r="BG62" s="49">
        <f t="shared" si="14"/>
        <v>603457.1999999997</v>
      </c>
      <c r="BH62" s="49">
        <f t="shared" si="14"/>
        <v>24791.5</v>
      </c>
      <c r="BK62" s="60"/>
    </row>
    <row r="63" spans="1:63" s="38" customFormat="1" ht="14.25" thickBot="1" thickTop="1">
      <c r="A63" s="50" t="s">
        <v>68</v>
      </c>
      <c r="B63" s="91" t="s">
        <v>95</v>
      </c>
      <c r="C63" s="51">
        <f t="shared" si="12"/>
        <v>-19767634.419999972</v>
      </c>
      <c r="D63" s="51">
        <f aca="true" t="shared" si="15" ref="D63:AI63">D29-D62</f>
        <v>-4011211.4999999963</v>
      </c>
      <c r="E63" s="51">
        <f t="shared" si="15"/>
        <v>-585868.75</v>
      </c>
      <c r="F63" s="51">
        <f t="shared" si="15"/>
        <v>51784.99000000005</v>
      </c>
      <c r="G63" s="51">
        <f t="shared" si="15"/>
        <v>-846764.3599999999</v>
      </c>
      <c r="H63" s="51">
        <f t="shared" si="15"/>
        <v>-5067525.99</v>
      </c>
      <c r="I63" s="51">
        <f t="shared" si="15"/>
        <v>249423.89000000013</v>
      </c>
      <c r="J63" s="51">
        <f t="shared" si="15"/>
        <v>-1036472.8399999931</v>
      </c>
      <c r="K63" s="51">
        <f t="shared" si="15"/>
        <v>-963093.2299999973</v>
      </c>
      <c r="L63" s="51">
        <f t="shared" si="15"/>
        <v>1996869.9700000002</v>
      </c>
      <c r="M63" s="51">
        <f t="shared" si="15"/>
        <v>-219275.20999999996</v>
      </c>
      <c r="N63" s="51">
        <f t="shared" si="15"/>
        <v>635821.4899999988</v>
      </c>
      <c r="O63" s="51">
        <f t="shared" si="15"/>
        <v>5010154.74</v>
      </c>
      <c r="P63" s="51">
        <f t="shared" si="15"/>
        <v>-1211786.96999999</v>
      </c>
      <c r="Q63" s="51">
        <f t="shared" si="15"/>
        <v>-4973832.9399999995</v>
      </c>
      <c r="R63" s="51">
        <f t="shared" si="15"/>
        <v>-20383.1</v>
      </c>
      <c r="S63" s="51">
        <f t="shared" si="15"/>
        <v>-2552104.890000001</v>
      </c>
      <c r="T63" s="51">
        <f t="shared" si="15"/>
        <v>-68366.04999999999</v>
      </c>
      <c r="U63" s="51">
        <f t="shared" si="15"/>
        <v>-35265.41000000015</v>
      </c>
      <c r="V63" s="51">
        <f t="shared" si="15"/>
        <v>69677.39</v>
      </c>
      <c r="W63" s="51">
        <f t="shared" si="15"/>
        <v>-19099.059999999998</v>
      </c>
      <c r="X63" s="51">
        <f t="shared" si="15"/>
        <v>-27846.839999999964</v>
      </c>
      <c r="Y63" s="51">
        <f t="shared" si="15"/>
        <v>-218726.21000000119</v>
      </c>
      <c r="Z63" s="51">
        <f t="shared" si="15"/>
        <v>-6666.049999999999</v>
      </c>
      <c r="AA63" s="51">
        <f t="shared" si="15"/>
        <v>-6722.36</v>
      </c>
      <c r="AB63" s="51">
        <f t="shared" si="15"/>
        <v>-54424</v>
      </c>
      <c r="AC63" s="51">
        <f t="shared" si="15"/>
        <v>-95789.9700000018</v>
      </c>
      <c r="AD63" s="51">
        <f t="shared" si="15"/>
        <v>1349</v>
      </c>
      <c r="AE63" s="51">
        <f t="shared" si="15"/>
        <v>-1026482.22</v>
      </c>
      <c r="AF63" s="51">
        <f t="shared" si="15"/>
        <v>-420</v>
      </c>
      <c r="AG63" s="51">
        <f t="shared" si="15"/>
        <v>-72311.25</v>
      </c>
      <c r="AH63" s="51">
        <f t="shared" si="15"/>
        <v>-21862.91999999553</v>
      </c>
      <c r="AI63" s="51">
        <f t="shared" si="15"/>
        <v>-753589.8199999995</v>
      </c>
      <c r="AJ63" s="51">
        <f aca="true" t="shared" si="16" ref="AJ63:BH63">AJ29-AJ62</f>
        <v>-260441.23000000016</v>
      </c>
      <c r="AK63" s="51">
        <f t="shared" si="16"/>
        <v>219872.43</v>
      </c>
      <c r="AL63" s="51">
        <f t="shared" si="16"/>
        <v>-74872.39000000001</v>
      </c>
      <c r="AM63" s="51">
        <f t="shared" si="16"/>
        <v>-19492.43</v>
      </c>
      <c r="AN63" s="51">
        <f t="shared" si="16"/>
        <v>-89120.76000000037</v>
      </c>
      <c r="AO63" s="51">
        <f t="shared" si="16"/>
        <v>-2417997.08</v>
      </c>
      <c r="AP63" s="51">
        <f t="shared" si="16"/>
        <v>-10582.4</v>
      </c>
      <c r="AQ63" s="51">
        <f t="shared" si="16"/>
        <v>-39400</v>
      </c>
      <c r="AR63" s="51">
        <f t="shared" si="16"/>
        <v>-22673</v>
      </c>
      <c r="AS63" s="51">
        <f t="shared" si="16"/>
        <v>-29570.6</v>
      </c>
      <c r="AT63" s="51">
        <f t="shared" si="16"/>
        <v>-9455</v>
      </c>
      <c r="AU63" s="51">
        <f t="shared" si="16"/>
        <v>-149920.75</v>
      </c>
      <c r="AV63" s="51">
        <f t="shared" si="16"/>
        <v>-13405.5</v>
      </c>
      <c r="AW63" s="51">
        <f t="shared" si="16"/>
        <v>-10556.18</v>
      </c>
      <c r="AX63" s="51">
        <f t="shared" si="16"/>
        <v>-45166.08</v>
      </c>
      <c r="AY63" s="51">
        <f t="shared" si="16"/>
        <v>137434.05</v>
      </c>
      <c r="AZ63" s="51">
        <f t="shared" si="16"/>
        <v>154201.25</v>
      </c>
      <c r="BA63" s="51">
        <f t="shared" si="16"/>
        <v>-417268.9999999999</v>
      </c>
      <c r="BB63" s="51">
        <f t="shared" si="16"/>
        <v>-4061.25</v>
      </c>
      <c r="BC63" s="51">
        <f t="shared" si="16"/>
        <v>-37879.5</v>
      </c>
      <c r="BD63" s="51">
        <f t="shared" si="16"/>
        <v>-14723.109999999815</v>
      </c>
      <c r="BE63" s="51">
        <f t="shared" si="16"/>
        <v>-37574.22</v>
      </c>
      <c r="BF63" s="51">
        <f t="shared" si="16"/>
        <v>-65922.5</v>
      </c>
      <c r="BG63" s="51">
        <f t="shared" si="16"/>
        <v>-603457.1999999997</v>
      </c>
      <c r="BH63" s="51">
        <f t="shared" si="16"/>
        <v>-24791.5</v>
      </c>
      <c r="BK63" s="60"/>
    </row>
    <row r="64" spans="1:63" ht="13.5" hidden="1" thickTop="1">
      <c r="A64" s="15" t="s">
        <v>69</v>
      </c>
      <c r="B64" s="76" t="s">
        <v>74</v>
      </c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K64" s="60"/>
    </row>
    <row r="65" spans="1:63" ht="12.75" hidden="1">
      <c r="A65" s="15"/>
      <c r="B65" s="76" t="s">
        <v>73</v>
      </c>
      <c r="C65" s="16">
        <f t="shared" si="12"/>
        <v>0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K65" s="60"/>
    </row>
    <row r="66" spans="1:63" ht="12.75" hidden="1">
      <c r="A66" s="15"/>
      <c r="B66" s="76" t="s">
        <v>81</v>
      </c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K66" s="60"/>
    </row>
    <row r="67" spans="1:63" ht="12.75" hidden="1">
      <c r="A67" s="15"/>
      <c r="B67" s="76" t="s">
        <v>82</v>
      </c>
      <c r="C67" s="16">
        <f t="shared" si="12"/>
        <v>0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K67" s="60"/>
    </row>
    <row r="68" spans="1:63" ht="12.75" hidden="1">
      <c r="A68" s="15"/>
      <c r="B68" s="76" t="s">
        <v>76</v>
      </c>
      <c r="C68" s="16">
        <f t="shared" si="12"/>
        <v>0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K68" s="60"/>
    </row>
    <row r="69" spans="1:63" ht="12.75" hidden="1">
      <c r="A69" s="15"/>
      <c r="B69" s="92" t="s">
        <v>75</v>
      </c>
      <c r="C69" s="16">
        <f t="shared" si="12"/>
        <v>0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K69" s="60"/>
    </row>
    <row r="70" spans="1:63" ht="13.5" hidden="1" thickBot="1">
      <c r="A70" s="52"/>
      <c r="B70" s="93" t="s">
        <v>83</v>
      </c>
      <c r="C70" s="53">
        <f t="shared" si="12"/>
        <v>0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K70" s="60"/>
    </row>
    <row r="71" ht="13.5" thickTop="1">
      <c r="AW71" s="3"/>
    </row>
    <row r="72" spans="2:60" ht="12.75" hidden="1">
      <c r="B72" s="94" t="s">
        <v>84</v>
      </c>
      <c r="C72" s="62">
        <f aca="true" t="shared" si="17" ref="C72:AH72">SUM(C39:C41)</f>
        <v>1468475.3900000001</v>
      </c>
      <c r="D72" s="62">
        <f t="shared" si="17"/>
        <v>0</v>
      </c>
      <c r="E72" s="62">
        <f t="shared" si="17"/>
        <v>11020</v>
      </c>
      <c r="F72" s="62">
        <f t="shared" si="17"/>
        <v>0</v>
      </c>
      <c r="G72" s="62">
        <f t="shared" si="17"/>
        <v>0</v>
      </c>
      <c r="H72" s="62">
        <f t="shared" si="17"/>
        <v>0</v>
      </c>
      <c r="I72" s="62">
        <f t="shared" si="17"/>
        <v>144929.14</v>
      </c>
      <c r="J72" s="62">
        <f t="shared" si="17"/>
        <v>113603.5</v>
      </c>
      <c r="K72" s="62">
        <f t="shared" si="17"/>
        <v>0</v>
      </c>
      <c r="L72" s="62">
        <f t="shared" si="17"/>
        <v>0</v>
      </c>
      <c r="M72" s="62">
        <f t="shared" si="17"/>
        <v>1705.57</v>
      </c>
      <c r="N72" s="62">
        <f t="shared" si="17"/>
        <v>244218.41</v>
      </c>
      <c r="O72" s="62">
        <f t="shared" si="17"/>
        <v>0</v>
      </c>
      <c r="P72" s="62">
        <f t="shared" si="17"/>
        <v>585363</v>
      </c>
      <c r="Q72" s="62">
        <f t="shared" si="17"/>
        <v>367354.77</v>
      </c>
      <c r="R72" s="62">
        <f t="shared" si="17"/>
        <v>0</v>
      </c>
      <c r="S72" s="62">
        <f t="shared" si="17"/>
        <v>0</v>
      </c>
      <c r="T72" s="62">
        <f t="shared" si="17"/>
        <v>0</v>
      </c>
      <c r="U72" s="62">
        <f t="shared" si="17"/>
        <v>0</v>
      </c>
      <c r="V72" s="62">
        <f t="shared" si="17"/>
        <v>0</v>
      </c>
      <c r="W72" s="62">
        <f t="shared" si="17"/>
        <v>0</v>
      </c>
      <c r="X72" s="62">
        <f t="shared" si="17"/>
        <v>281</v>
      </c>
      <c r="Y72" s="62">
        <f t="shared" si="17"/>
        <v>0</v>
      </c>
      <c r="Z72" s="62">
        <f t="shared" si="17"/>
        <v>0</v>
      </c>
      <c r="AA72" s="62">
        <f t="shared" si="17"/>
        <v>0</v>
      </c>
      <c r="AB72" s="62">
        <f t="shared" si="17"/>
        <v>0</v>
      </c>
      <c r="AC72" s="62">
        <f t="shared" si="17"/>
        <v>0</v>
      </c>
      <c r="AD72" s="62">
        <f t="shared" si="17"/>
        <v>0</v>
      </c>
      <c r="AE72" s="62">
        <f t="shared" si="17"/>
        <v>0</v>
      </c>
      <c r="AF72" s="62">
        <f t="shared" si="17"/>
        <v>0</v>
      </c>
      <c r="AG72" s="62">
        <f t="shared" si="17"/>
        <v>0</v>
      </c>
      <c r="AH72" s="62">
        <f t="shared" si="17"/>
        <v>0</v>
      </c>
      <c r="AI72" s="62">
        <f aca="true" t="shared" si="18" ref="AI72:BH72">SUM(AI39:AI41)</f>
        <v>0</v>
      </c>
      <c r="AJ72" s="62">
        <f t="shared" si="18"/>
        <v>0</v>
      </c>
      <c r="AK72" s="62">
        <f t="shared" si="18"/>
        <v>0</v>
      </c>
      <c r="AL72" s="62">
        <f t="shared" si="18"/>
        <v>0</v>
      </c>
      <c r="AM72" s="62">
        <f t="shared" si="18"/>
        <v>0</v>
      </c>
      <c r="AN72" s="62">
        <f t="shared" si="18"/>
        <v>0</v>
      </c>
      <c r="AO72" s="62">
        <f t="shared" si="18"/>
        <v>0</v>
      </c>
      <c r="AP72" s="62">
        <f t="shared" si="18"/>
        <v>0</v>
      </c>
      <c r="AQ72" s="62">
        <f t="shared" si="18"/>
        <v>0</v>
      </c>
      <c r="AR72" s="62">
        <f t="shared" si="18"/>
        <v>0</v>
      </c>
      <c r="AS72" s="62">
        <f t="shared" si="18"/>
        <v>0</v>
      </c>
      <c r="AT72" s="62">
        <f t="shared" si="18"/>
        <v>0</v>
      </c>
      <c r="AU72" s="62">
        <f t="shared" si="18"/>
        <v>0</v>
      </c>
      <c r="AV72" s="62">
        <f t="shared" si="18"/>
        <v>0</v>
      </c>
      <c r="AW72" s="62">
        <f t="shared" si="18"/>
        <v>0</v>
      </c>
      <c r="AX72" s="62">
        <f t="shared" si="18"/>
        <v>0</v>
      </c>
      <c r="AY72" s="62">
        <f t="shared" si="18"/>
        <v>0</v>
      </c>
      <c r="AZ72" s="62">
        <f t="shared" si="18"/>
        <v>0</v>
      </c>
      <c r="BA72" s="62">
        <f t="shared" si="18"/>
        <v>0</v>
      </c>
      <c r="BB72" s="62">
        <f t="shared" si="18"/>
        <v>0</v>
      </c>
      <c r="BC72" s="62">
        <f t="shared" si="18"/>
        <v>0</v>
      </c>
      <c r="BD72" s="62">
        <f t="shared" si="18"/>
        <v>0</v>
      </c>
      <c r="BE72" s="62">
        <f t="shared" si="18"/>
        <v>0</v>
      </c>
      <c r="BF72" s="62">
        <f t="shared" si="18"/>
        <v>0</v>
      </c>
      <c r="BG72" s="62">
        <f t="shared" si="18"/>
        <v>0</v>
      </c>
      <c r="BH72" s="62">
        <f t="shared" si="18"/>
        <v>0</v>
      </c>
    </row>
    <row r="73" spans="2:60" ht="12.75" hidden="1">
      <c r="B73" s="94" t="s">
        <v>85</v>
      </c>
      <c r="C73" s="62">
        <f aca="true" t="shared" si="19" ref="C73:AH73">SUM(C35,C42,C44)</f>
        <v>154631.46000000002</v>
      </c>
      <c r="D73" s="62">
        <f t="shared" si="19"/>
        <v>0</v>
      </c>
      <c r="E73" s="62">
        <f t="shared" si="19"/>
        <v>0</v>
      </c>
      <c r="F73" s="62">
        <f t="shared" si="19"/>
        <v>0</v>
      </c>
      <c r="G73" s="62">
        <f t="shared" si="19"/>
        <v>0</v>
      </c>
      <c r="H73" s="62">
        <f t="shared" si="19"/>
        <v>0</v>
      </c>
      <c r="I73" s="62">
        <f t="shared" si="19"/>
        <v>0</v>
      </c>
      <c r="J73" s="62">
        <f t="shared" si="19"/>
        <v>0</v>
      </c>
      <c r="K73" s="62">
        <f t="shared" si="19"/>
        <v>94770.27</v>
      </c>
      <c r="L73" s="62">
        <f t="shared" si="19"/>
        <v>0</v>
      </c>
      <c r="M73" s="62">
        <f t="shared" si="19"/>
        <v>0</v>
      </c>
      <c r="N73" s="62">
        <f t="shared" si="19"/>
        <v>0</v>
      </c>
      <c r="O73" s="62">
        <f t="shared" si="19"/>
        <v>0</v>
      </c>
      <c r="P73" s="62">
        <f t="shared" si="19"/>
        <v>0</v>
      </c>
      <c r="Q73" s="62">
        <f t="shared" si="19"/>
        <v>0</v>
      </c>
      <c r="R73" s="62">
        <f t="shared" si="19"/>
        <v>0</v>
      </c>
      <c r="S73" s="62">
        <f t="shared" si="19"/>
        <v>0</v>
      </c>
      <c r="T73" s="62">
        <f t="shared" si="19"/>
        <v>0</v>
      </c>
      <c r="U73" s="62">
        <f t="shared" si="19"/>
        <v>0</v>
      </c>
      <c r="V73" s="62">
        <f t="shared" si="19"/>
        <v>0</v>
      </c>
      <c r="W73" s="62">
        <f t="shared" si="19"/>
        <v>0</v>
      </c>
      <c r="X73" s="62">
        <f t="shared" si="19"/>
        <v>1243</v>
      </c>
      <c r="Y73" s="62">
        <f t="shared" si="19"/>
        <v>0</v>
      </c>
      <c r="Z73" s="62">
        <f t="shared" si="19"/>
        <v>8643.89</v>
      </c>
      <c r="AA73" s="62">
        <f t="shared" si="19"/>
        <v>0</v>
      </c>
      <c r="AB73" s="62">
        <f t="shared" si="19"/>
        <v>0</v>
      </c>
      <c r="AC73" s="62">
        <f t="shared" si="19"/>
        <v>0</v>
      </c>
      <c r="AD73" s="62">
        <f t="shared" si="19"/>
        <v>0</v>
      </c>
      <c r="AE73" s="62">
        <f t="shared" si="19"/>
        <v>0</v>
      </c>
      <c r="AF73" s="62">
        <f t="shared" si="19"/>
        <v>0</v>
      </c>
      <c r="AG73" s="62">
        <f t="shared" si="19"/>
        <v>792</v>
      </c>
      <c r="AH73" s="62">
        <f t="shared" si="19"/>
        <v>0</v>
      </c>
      <c r="AI73" s="62">
        <f aca="true" t="shared" si="20" ref="AI73:BH73">SUM(AI35,AI42,AI44)</f>
        <v>4024.9</v>
      </c>
      <c r="AJ73" s="62">
        <f t="shared" si="20"/>
        <v>0</v>
      </c>
      <c r="AK73" s="62">
        <f t="shared" si="20"/>
        <v>0</v>
      </c>
      <c r="AL73" s="62">
        <f t="shared" si="20"/>
        <v>0</v>
      </c>
      <c r="AM73" s="62">
        <f t="shared" si="20"/>
        <v>0</v>
      </c>
      <c r="AN73" s="62">
        <f t="shared" si="20"/>
        <v>0</v>
      </c>
      <c r="AO73" s="62">
        <f t="shared" si="20"/>
        <v>0</v>
      </c>
      <c r="AP73" s="62">
        <f t="shared" si="20"/>
        <v>0</v>
      </c>
      <c r="AQ73" s="62">
        <f t="shared" si="20"/>
        <v>0</v>
      </c>
      <c r="AR73" s="62">
        <f t="shared" si="20"/>
        <v>0</v>
      </c>
      <c r="AS73" s="62">
        <f t="shared" si="20"/>
        <v>0</v>
      </c>
      <c r="AT73" s="62">
        <f t="shared" si="20"/>
        <v>0</v>
      </c>
      <c r="AU73" s="62">
        <f t="shared" si="20"/>
        <v>0</v>
      </c>
      <c r="AV73" s="62">
        <f t="shared" si="20"/>
        <v>0</v>
      </c>
      <c r="AW73" s="62">
        <f t="shared" si="20"/>
        <v>0</v>
      </c>
      <c r="AX73" s="62">
        <f t="shared" si="20"/>
        <v>16883.4</v>
      </c>
      <c r="AY73" s="62">
        <f t="shared" si="20"/>
        <v>0</v>
      </c>
      <c r="AZ73" s="62">
        <f t="shared" si="20"/>
        <v>0</v>
      </c>
      <c r="BA73" s="62">
        <f t="shared" si="20"/>
        <v>0</v>
      </c>
      <c r="BB73" s="62">
        <f t="shared" si="20"/>
        <v>0</v>
      </c>
      <c r="BC73" s="62">
        <f t="shared" si="20"/>
        <v>0</v>
      </c>
      <c r="BD73" s="62">
        <f t="shared" si="20"/>
        <v>0</v>
      </c>
      <c r="BE73" s="62">
        <f t="shared" si="20"/>
        <v>0</v>
      </c>
      <c r="BF73" s="62">
        <f t="shared" si="20"/>
        <v>28274</v>
      </c>
      <c r="BG73" s="62">
        <f t="shared" si="20"/>
        <v>0</v>
      </c>
      <c r="BH73" s="62">
        <f t="shared" si="20"/>
        <v>0</v>
      </c>
    </row>
    <row r="74" ht="12.75" hidden="1">
      <c r="C74" s="62"/>
    </row>
    <row r="75" ht="12.75" hidden="1"/>
    <row r="76" spans="2:60" s="62" customFormat="1" ht="12.75" hidden="1">
      <c r="B76" s="94" t="s">
        <v>96</v>
      </c>
      <c r="C76" s="62">
        <f aca="true" t="shared" si="21" ref="C76:AH76">SUM(C12-C33)</f>
        <v>-3142472.879999999</v>
      </c>
      <c r="D76" s="62">
        <f t="shared" si="21"/>
        <v>-20580</v>
      </c>
      <c r="E76" s="62">
        <f t="shared" si="21"/>
        <v>-165102</v>
      </c>
      <c r="F76" s="62">
        <f t="shared" si="21"/>
        <v>495573.2</v>
      </c>
      <c r="G76" s="62">
        <f t="shared" si="21"/>
        <v>-720143.27</v>
      </c>
      <c r="H76" s="62">
        <f t="shared" si="21"/>
        <v>-245021.6</v>
      </c>
      <c r="I76" s="62">
        <f t="shared" si="21"/>
        <v>-808685.22</v>
      </c>
      <c r="J76" s="62">
        <f t="shared" si="21"/>
        <v>-577262.99</v>
      </c>
      <c r="K76" s="62">
        <f t="shared" si="21"/>
        <v>-1019755.97</v>
      </c>
      <c r="L76" s="62">
        <f t="shared" si="21"/>
        <v>2032827.06</v>
      </c>
      <c r="M76" s="62">
        <f t="shared" si="21"/>
        <v>-757278.6599999999</v>
      </c>
      <c r="N76" s="62">
        <f t="shared" si="21"/>
        <v>-506934.42000000004</v>
      </c>
      <c r="O76" s="62">
        <f t="shared" si="21"/>
        <v>-46439.53</v>
      </c>
      <c r="P76" s="62">
        <f t="shared" si="21"/>
        <v>-826646</v>
      </c>
      <c r="Q76" s="62">
        <f t="shared" si="21"/>
        <v>731957.47</v>
      </c>
      <c r="R76" s="62">
        <f t="shared" si="21"/>
        <v>6913.65</v>
      </c>
      <c r="S76" s="62">
        <f t="shared" si="21"/>
        <v>51717.27</v>
      </c>
      <c r="T76" s="62">
        <f t="shared" si="21"/>
        <v>-50779.56</v>
      </c>
      <c r="U76" s="62">
        <f t="shared" si="21"/>
        <v>0</v>
      </c>
      <c r="V76" s="62">
        <f t="shared" si="21"/>
        <v>78921.39</v>
      </c>
      <c r="W76" s="62">
        <f t="shared" si="21"/>
        <v>106156.74</v>
      </c>
      <c r="X76" s="62">
        <f t="shared" si="21"/>
        <v>-1589</v>
      </c>
      <c r="Y76" s="62">
        <f t="shared" si="21"/>
        <v>-110574.68</v>
      </c>
      <c r="Z76" s="62">
        <f t="shared" si="21"/>
        <v>-6432.299999999999</v>
      </c>
      <c r="AA76" s="62">
        <f t="shared" si="21"/>
        <v>-6722.36</v>
      </c>
      <c r="AB76" s="62">
        <f t="shared" si="21"/>
        <v>0</v>
      </c>
      <c r="AC76" s="62">
        <f t="shared" si="21"/>
        <v>-22257.82</v>
      </c>
      <c r="AD76" s="62">
        <f t="shared" si="21"/>
        <v>-1271</v>
      </c>
      <c r="AE76" s="62">
        <f t="shared" si="21"/>
        <v>3710.28</v>
      </c>
      <c r="AF76" s="62">
        <f t="shared" si="21"/>
        <v>0</v>
      </c>
      <c r="AG76" s="62">
        <f t="shared" si="21"/>
        <v>-11482</v>
      </c>
      <c r="AH76" s="62">
        <f t="shared" si="21"/>
        <v>445</v>
      </c>
      <c r="AI76" s="62">
        <f aca="true" t="shared" si="22" ref="AI76:BH76">SUM(AI12-AI33)</f>
        <v>-8109.4</v>
      </c>
      <c r="AJ76" s="62">
        <f t="shared" si="22"/>
        <v>-4033.8</v>
      </c>
      <c r="AK76" s="62">
        <f t="shared" si="22"/>
        <v>-1429</v>
      </c>
      <c r="AL76" s="62">
        <f t="shared" si="22"/>
        <v>-1933</v>
      </c>
      <c r="AM76" s="62">
        <f t="shared" si="22"/>
        <v>507.57</v>
      </c>
      <c r="AN76" s="62">
        <f t="shared" si="22"/>
        <v>-58351.86</v>
      </c>
      <c r="AO76" s="62">
        <f t="shared" si="22"/>
        <v>-460896.8</v>
      </c>
      <c r="AP76" s="62">
        <f t="shared" si="22"/>
        <v>-2561</v>
      </c>
      <c r="AQ76" s="62">
        <f t="shared" si="22"/>
        <v>0</v>
      </c>
      <c r="AR76" s="62">
        <f t="shared" si="22"/>
        <v>2645</v>
      </c>
      <c r="AS76" s="62">
        <f t="shared" si="22"/>
        <v>-9508.21</v>
      </c>
      <c r="AT76" s="62">
        <f t="shared" si="22"/>
        <v>-9530</v>
      </c>
      <c r="AU76" s="62">
        <f t="shared" si="22"/>
        <v>48310.65</v>
      </c>
      <c r="AV76" s="62">
        <f t="shared" si="22"/>
        <v>-13072</v>
      </c>
      <c r="AW76" s="62">
        <f t="shared" si="22"/>
        <v>-10131.18</v>
      </c>
      <c r="AX76" s="62">
        <f t="shared" si="22"/>
        <v>-16883.4</v>
      </c>
      <c r="AY76" s="62">
        <f t="shared" si="22"/>
        <v>-1649</v>
      </c>
      <c r="AZ76" s="62">
        <f t="shared" si="22"/>
        <v>-35639</v>
      </c>
      <c r="BA76" s="62">
        <f t="shared" si="22"/>
        <v>-8</v>
      </c>
      <c r="BB76" s="62">
        <f t="shared" si="22"/>
        <v>-3161.25</v>
      </c>
      <c r="BC76" s="62">
        <f t="shared" si="22"/>
        <v>-18038</v>
      </c>
      <c r="BD76" s="62">
        <f t="shared" si="22"/>
        <v>-1082.63</v>
      </c>
      <c r="BE76" s="62">
        <f t="shared" si="22"/>
        <v>-35856.98</v>
      </c>
      <c r="BF76" s="62">
        <f t="shared" si="22"/>
        <v>-41981</v>
      </c>
      <c r="BG76" s="62">
        <f t="shared" si="22"/>
        <v>-62970.27</v>
      </c>
      <c r="BH76" s="62">
        <f t="shared" si="22"/>
        <v>-374</v>
      </c>
    </row>
    <row r="77" spans="2:60" s="62" customFormat="1" ht="12.75" hidden="1">
      <c r="B77" s="94" t="s">
        <v>97</v>
      </c>
      <c r="C77" s="62">
        <f aca="true" t="shared" si="23" ref="C77:AH77">SUM(C19-C46)</f>
        <v>-16625161.53999997</v>
      </c>
      <c r="D77" s="62">
        <f t="shared" si="23"/>
        <v>-3990631.4999999963</v>
      </c>
      <c r="E77" s="62">
        <f t="shared" si="23"/>
        <v>-420766.75</v>
      </c>
      <c r="F77" s="62">
        <f t="shared" si="23"/>
        <v>-443788.20999999996</v>
      </c>
      <c r="G77" s="62">
        <f t="shared" si="23"/>
        <v>-126621.08999999985</v>
      </c>
      <c r="H77" s="62">
        <f t="shared" si="23"/>
        <v>-4822504.390000001</v>
      </c>
      <c r="I77" s="62">
        <f t="shared" si="23"/>
        <v>1058109.11</v>
      </c>
      <c r="J77" s="62">
        <f t="shared" si="23"/>
        <v>-459209.8499999931</v>
      </c>
      <c r="K77" s="62">
        <f t="shared" si="23"/>
        <v>56662.74000000267</v>
      </c>
      <c r="L77" s="62">
        <f t="shared" si="23"/>
        <v>-35957.09</v>
      </c>
      <c r="M77" s="62">
        <f t="shared" si="23"/>
        <v>538003.45</v>
      </c>
      <c r="N77" s="62">
        <f t="shared" si="23"/>
        <v>1142755.9099999988</v>
      </c>
      <c r="O77" s="62">
        <f t="shared" si="23"/>
        <v>5056594.2700000005</v>
      </c>
      <c r="P77" s="62">
        <f t="shared" si="23"/>
        <v>-385140.96999998984</v>
      </c>
      <c r="Q77" s="62">
        <f t="shared" si="23"/>
        <v>-5705790.41</v>
      </c>
      <c r="R77" s="62">
        <f t="shared" si="23"/>
        <v>-27296.75</v>
      </c>
      <c r="S77" s="62">
        <f t="shared" si="23"/>
        <v>-2603822.160000001</v>
      </c>
      <c r="T77" s="62">
        <f t="shared" si="23"/>
        <v>-17586.48999999999</v>
      </c>
      <c r="U77" s="62">
        <f t="shared" si="23"/>
        <v>-35265.41000000015</v>
      </c>
      <c r="V77" s="62">
        <f t="shared" si="23"/>
        <v>-9244</v>
      </c>
      <c r="W77" s="62">
        <f t="shared" si="23"/>
        <v>-125255.79999999999</v>
      </c>
      <c r="X77" s="62">
        <f t="shared" si="23"/>
        <v>-26257.839999999964</v>
      </c>
      <c r="Y77" s="62">
        <f t="shared" si="23"/>
        <v>-108151.53000000119</v>
      </c>
      <c r="Z77" s="62">
        <f t="shared" si="23"/>
        <v>-233.75</v>
      </c>
      <c r="AA77" s="62">
        <f t="shared" si="23"/>
        <v>0</v>
      </c>
      <c r="AB77" s="62">
        <f t="shared" si="23"/>
        <v>-54424</v>
      </c>
      <c r="AC77" s="62">
        <f t="shared" si="23"/>
        <v>-73532.1500000018</v>
      </c>
      <c r="AD77" s="62">
        <f t="shared" si="23"/>
        <v>2620</v>
      </c>
      <c r="AE77" s="62">
        <f t="shared" si="23"/>
        <v>-1030192.5</v>
      </c>
      <c r="AF77" s="62">
        <f t="shared" si="23"/>
        <v>-420</v>
      </c>
      <c r="AG77" s="62">
        <f t="shared" si="23"/>
        <v>-60829.25</v>
      </c>
      <c r="AH77" s="62">
        <f t="shared" si="23"/>
        <v>-22307.91999999553</v>
      </c>
      <c r="AI77" s="62">
        <f aca="true" t="shared" si="24" ref="AI77:BH77">SUM(AI19-AI46)</f>
        <v>-745480.4199999995</v>
      </c>
      <c r="AJ77" s="62">
        <f t="shared" si="24"/>
        <v>-256407.43000000017</v>
      </c>
      <c r="AK77" s="62">
        <f t="shared" si="24"/>
        <v>221301.43</v>
      </c>
      <c r="AL77" s="62">
        <f t="shared" si="24"/>
        <v>-72939.39000000001</v>
      </c>
      <c r="AM77" s="62">
        <f t="shared" si="24"/>
        <v>-20000</v>
      </c>
      <c r="AN77" s="62">
        <f t="shared" si="24"/>
        <v>-30768.900000000373</v>
      </c>
      <c r="AO77" s="62">
        <f t="shared" si="24"/>
        <v>-1957100.2800000003</v>
      </c>
      <c r="AP77" s="62">
        <f t="shared" si="24"/>
        <v>-8021.4</v>
      </c>
      <c r="AQ77" s="62">
        <f t="shared" si="24"/>
        <v>-39400</v>
      </c>
      <c r="AR77" s="62">
        <f t="shared" si="24"/>
        <v>-25318</v>
      </c>
      <c r="AS77" s="62">
        <f t="shared" si="24"/>
        <v>-20062.39</v>
      </c>
      <c r="AT77" s="62">
        <f t="shared" si="24"/>
        <v>75</v>
      </c>
      <c r="AU77" s="62">
        <f t="shared" si="24"/>
        <v>-198231.4</v>
      </c>
      <c r="AV77" s="62">
        <f t="shared" si="24"/>
        <v>-333.5</v>
      </c>
      <c r="AW77" s="62">
        <f t="shared" si="24"/>
        <v>-425</v>
      </c>
      <c r="AX77" s="62">
        <f t="shared" si="24"/>
        <v>-28282.68</v>
      </c>
      <c r="AY77" s="62">
        <f t="shared" si="24"/>
        <v>139083.05</v>
      </c>
      <c r="AZ77" s="62">
        <f t="shared" si="24"/>
        <v>189840.25</v>
      </c>
      <c r="BA77" s="62">
        <f t="shared" si="24"/>
        <v>-417260.9999999999</v>
      </c>
      <c r="BB77" s="62">
        <f t="shared" si="24"/>
        <v>-900</v>
      </c>
      <c r="BC77" s="62">
        <f t="shared" si="24"/>
        <v>-19841.5</v>
      </c>
      <c r="BD77" s="62">
        <f t="shared" si="24"/>
        <v>-13640.479999999814</v>
      </c>
      <c r="BE77" s="62">
        <f t="shared" si="24"/>
        <v>-1717.24</v>
      </c>
      <c r="BF77" s="62">
        <f t="shared" si="24"/>
        <v>-23941.5</v>
      </c>
      <c r="BG77" s="62">
        <f t="shared" si="24"/>
        <v>-540486.9299999997</v>
      </c>
      <c r="BH77" s="62">
        <f t="shared" si="24"/>
        <v>-24417.5</v>
      </c>
    </row>
    <row r="78" ht="12.75" hidden="1"/>
    <row r="79" ht="12.75" hidden="1"/>
    <row r="80" spans="2:60" s="62" customFormat="1" ht="12.75" hidden="1">
      <c r="B80" s="94"/>
      <c r="C80" s="62">
        <f>SUM(C76:C77)</f>
        <v>-19767634.41999997</v>
      </c>
      <c r="D80" s="62">
        <f aca="true" t="shared" si="25" ref="D80:BH80">SUM(D76:D77)</f>
        <v>-4011211.4999999963</v>
      </c>
      <c r="E80" s="62">
        <f t="shared" si="25"/>
        <v>-585868.75</v>
      </c>
      <c r="F80" s="62">
        <f t="shared" si="25"/>
        <v>51784.99000000005</v>
      </c>
      <c r="G80" s="62">
        <f t="shared" si="25"/>
        <v>-846764.3599999999</v>
      </c>
      <c r="H80" s="62">
        <f t="shared" si="25"/>
        <v>-5067525.99</v>
      </c>
      <c r="I80" s="62">
        <f t="shared" si="25"/>
        <v>249423.89000000013</v>
      </c>
      <c r="J80" s="62">
        <f t="shared" si="25"/>
        <v>-1036472.8399999931</v>
      </c>
      <c r="K80" s="62">
        <f t="shared" si="25"/>
        <v>-963093.2299999973</v>
      </c>
      <c r="L80" s="62">
        <f t="shared" si="25"/>
        <v>1996869.97</v>
      </c>
      <c r="M80" s="62">
        <f t="shared" si="25"/>
        <v>-219275.20999999996</v>
      </c>
      <c r="N80" s="62">
        <f t="shared" si="25"/>
        <v>635821.4899999987</v>
      </c>
      <c r="O80" s="62">
        <f t="shared" si="25"/>
        <v>5010154.74</v>
      </c>
      <c r="P80" s="62">
        <f t="shared" si="25"/>
        <v>-1211786.96999999</v>
      </c>
      <c r="Q80" s="62">
        <f t="shared" si="25"/>
        <v>-4973832.94</v>
      </c>
      <c r="R80" s="62">
        <f t="shared" si="25"/>
        <v>-20383.1</v>
      </c>
      <c r="S80" s="62">
        <f t="shared" si="25"/>
        <v>-2552104.890000001</v>
      </c>
      <c r="T80" s="62">
        <f t="shared" si="25"/>
        <v>-68366.04999999999</v>
      </c>
      <c r="U80" s="62">
        <f t="shared" si="25"/>
        <v>-35265.41000000015</v>
      </c>
      <c r="V80" s="62">
        <f t="shared" si="25"/>
        <v>69677.39</v>
      </c>
      <c r="W80" s="62">
        <f t="shared" si="25"/>
        <v>-19099.059999999983</v>
      </c>
      <c r="X80" s="62">
        <f t="shared" si="25"/>
        <v>-27846.839999999964</v>
      </c>
      <c r="Y80" s="62">
        <f t="shared" si="25"/>
        <v>-218726.21000000119</v>
      </c>
      <c r="Z80" s="62">
        <f t="shared" si="25"/>
        <v>-6666.049999999999</v>
      </c>
      <c r="AA80" s="62">
        <f t="shared" si="25"/>
        <v>-6722.36</v>
      </c>
      <c r="AB80" s="62">
        <f t="shared" si="25"/>
        <v>-54424</v>
      </c>
      <c r="AC80" s="62">
        <f t="shared" si="25"/>
        <v>-95789.9700000018</v>
      </c>
      <c r="AD80" s="62">
        <f t="shared" si="25"/>
        <v>1349</v>
      </c>
      <c r="AE80" s="62">
        <f t="shared" si="25"/>
        <v>-1026482.22</v>
      </c>
      <c r="AF80" s="62">
        <f t="shared" si="25"/>
        <v>-420</v>
      </c>
      <c r="AG80" s="62">
        <f t="shared" si="25"/>
        <v>-72311.25</v>
      </c>
      <c r="AH80" s="62">
        <f t="shared" si="25"/>
        <v>-21862.91999999553</v>
      </c>
      <c r="AI80" s="62">
        <f t="shared" si="25"/>
        <v>-753589.8199999995</v>
      </c>
      <c r="AJ80" s="62">
        <f t="shared" si="25"/>
        <v>-260441.23000000016</v>
      </c>
      <c r="AK80" s="62">
        <f t="shared" si="25"/>
        <v>219872.43</v>
      </c>
      <c r="AL80" s="62">
        <f t="shared" si="25"/>
        <v>-74872.39000000001</v>
      </c>
      <c r="AM80" s="62">
        <f t="shared" si="25"/>
        <v>-19492.43</v>
      </c>
      <c r="AN80" s="62">
        <f t="shared" si="25"/>
        <v>-89120.76000000037</v>
      </c>
      <c r="AO80" s="62">
        <f t="shared" si="25"/>
        <v>-2417997.08</v>
      </c>
      <c r="AP80" s="62">
        <f t="shared" si="25"/>
        <v>-10582.4</v>
      </c>
      <c r="AQ80" s="62">
        <f t="shared" si="25"/>
        <v>-39400</v>
      </c>
      <c r="AR80" s="62">
        <f t="shared" si="25"/>
        <v>-22673</v>
      </c>
      <c r="AS80" s="62">
        <f t="shared" si="25"/>
        <v>-29570.6</v>
      </c>
      <c r="AT80" s="62">
        <f t="shared" si="25"/>
        <v>-9455</v>
      </c>
      <c r="AU80" s="62">
        <f t="shared" si="25"/>
        <v>-149920.75</v>
      </c>
      <c r="AV80" s="62">
        <f t="shared" si="25"/>
        <v>-13405.5</v>
      </c>
      <c r="AW80" s="62">
        <f t="shared" si="25"/>
        <v>-10556.18</v>
      </c>
      <c r="AX80" s="62">
        <f t="shared" si="25"/>
        <v>-45166.08</v>
      </c>
      <c r="AY80" s="62">
        <f t="shared" si="25"/>
        <v>137434.05</v>
      </c>
      <c r="AZ80" s="62">
        <f t="shared" si="25"/>
        <v>154201.25</v>
      </c>
      <c r="BA80" s="62">
        <f t="shared" si="25"/>
        <v>-417268.9999999999</v>
      </c>
      <c r="BB80" s="62">
        <f t="shared" si="25"/>
        <v>-4061.25</v>
      </c>
      <c r="BC80" s="62">
        <f t="shared" si="25"/>
        <v>-37879.5</v>
      </c>
      <c r="BD80" s="62">
        <f t="shared" si="25"/>
        <v>-14723.109999999815</v>
      </c>
      <c r="BE80" s="62">
        <f t="shared" si="25"/>
        <v>-37574.22</v>
      </c>
      <c r="BF80" s="62">
        <f t="shared" si="25"/>
        <v>-65922.5</v>
      </c>
      <c r="BG80" s="62">
        <f t="shared" si="25"/>
        <v>-603457.1999999997</v>
      </c>
      <c r="BH80" s="62">
        <f t="shared" si="25"/>
        <v>-24791.5</v>
      </c>
    </row>
    <row r="81" ht="12.75" hidden="1"/>
  </sheetData>
  <sheetProtection/>
  <printOptions horizontalCentered="1"/>
  <pageMargins left="0.1968503937007874" right="0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Černoch Michail (MHMP, OVO)</cp:lastModifiedBy>
  <cp:lastPrinted>2020-03-17T09:40:02Z</cp:lastPrinted>
  <dcterms:created xsi:type="dcterms:W3CDTF">2006-01-13T12:10:48Z</dcterms:created>
  <dcterms:modified xsi:type="dcterms:W3CDTF">2020-07-02T19:32:49Z</dcterms:modified>
  <cp:category/>
  <cp:version/>
  <cp:contentType/>
  <cp:contentStatus/>
</cp:coreProperties>
</file>