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1-57" sheetId="1" r:id="rId1"/>
    <sheet name="List4" sheetId="2" r:id="rId2"/>
    <sheet name="List5" sheetId="3" r:id="rId3"/>
    <sheet name="List6" sheetId="4" r:id="rId4"/>
    <sheet name="List7" sheetId="5" r:id="rId5"/>
    <sheet name="List8" sheetId="6" r:id="rId6"/>
    <sheet name="List9" sheetId="7" r:id="rId7"/>
    <sheet name="List10" sheetId="8" r:id="rId8"/>
  </sheets>
  <definedNames>
    <definedName name="_xlnm.Print_Titles" localSheetId="0">'1-57'!$A:$B</definedName>
  </definedNames>
  <calcPr fullCalcOnLoad="1"/>
</workbook>
</file>

<file path=xl/sharedStrings.xml><?xml version="1.0" encoding="utf-8"?>
<sst xmlns="http://schemas.openxmlformats.org/spreadsheetml/2006/main" count="101" uniqueCount="98">
  <si>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</si>
  <si>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</si>
  <si>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</si>
  <si>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</si>
  <si>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</si>
  <si>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</si>
  <si>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</si>
  <si>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</si>
  <si>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</si>
  <si>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</si>
  <si>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</si>
  <si>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</si>
  <si>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</si>
  <si>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</si>
  <si>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</si>
  <si>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</si>
  <si>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</si>
  <si>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</si>
  <si>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</si>
  <si>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</si>
  <si>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</si>
  <si>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</si>
  <si>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</si>
  <si>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</si>
  <si>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</si>
  <si>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</si>
  <si>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</si>
  <si>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</si>
  <si>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</si>
  <si>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</si>
  <si>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</si>
  <si>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</si>
  <si>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</si>
  <si>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</si>
  <si>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</si>
  <si>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</si>
  <si>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</si>
  <si>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</si>
  <si>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</si>
  <si>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</si>
  <si>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</si>
  <si>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</si>
  <si>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</si>
  <si>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</si>
  <si>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</si>
  <si>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</si>
  <si>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</si>
  <si>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</si>
  <si>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</si>
  <si>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</si>
  <si>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</si>
  <si>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</si>
  <si>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</si>
  <si>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</si>
  <si>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</si>
  <si>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</si>
  <si>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</si>
  <si>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</si>
  <si>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</si>
  <si>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</si>
  <si>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</si>
  <si>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</si>
  <si>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Dorovnání dotací SR  c e l k e m</t>
  </si>
  <si>
    <t>4.</t>
  </si>
  <si>
    <t>Dorovnání z rozpočtu HMP celkem</t>
  </si>
  <si>
    <t>5.</t>
  </si>
  <si>
    <t>Úhrn zdrojů fin. vypořádání   (ř.3 a ř.4)</t>
  </si>
  <si>
    <t>B: POTŘEBY finančního vypořádání</t>
  </si>
  <si>
    <t>6.</t>
  </si>
  <si>
    <t>Odvody do SR  c e l k e m</t>
  </si>
  <si>
    <t>7.</t>
  </si>
  <si>
    <t>Odvody HMP   c e l k e m</t>
  </si>
  <si>
    <t>8.</t>
  </si>
  <si>
    <t>Úhrn potřeb (ř.6 a ř.7)</t>
  </si>
  <si>
    <t>9.</t>
  </si>
  <si>
    <t>Saldo FV (ř.5 - ř.8)</t>
  </si>
  <si>
    <t>z toho: příspěvek na péči    ÚZ 13235</t>
  </si>
  <si>
    <t xml:space="preserve">         PŘEHLED FINANČNÍHO VYPOŘÁDÁNÍ            </t>
  </si>
  <si>
    <t>MČ celkem</t>
  </si>
  <si>
    <t>v Kč</t>
  </si>
  <si>
    <t>sociálně právní ochrana dětí  ÚZ 98216 (doplatek dle bodu 3a Informace MF)</t>
  </si>
  <si>
    <t>ZA ROK 2008 S MČ HL. M. PRAHY</t>
  </si>
  <si>
    <t>volby do 1/3 Senátu PČR  ÚZ 98193</t>
  </si>
  <si>
    <t>sociální dávky ZP a HN   ÚZ 13306</t>
  </si>
  <si>
    <t>poštovné   ÚZ 98031</t>
  </si>
  <si>
    <t>zkoušky zvláštní odborné způsobilosti</t>
  </si>
  <si>
    <t>doplatky místních poplatků</t>
  </si>
  <si>
    <t>vratky poštovného    98031</t>
  </si>
  <si>
    <t>sociálně právní ochrana dětí  ÚZ 98216</t>
  </si>
  <si>
    <t>vratky ostat.účel.prostř. MF ČR-kap.VPS</t>
  </si>
  <si>
    <t>z toho:vratky účel.prostř. r. 2006, 2007</t>
  </si>
  <si>
    <t>vratky účel.prostř. r. 2008</t>
  </si>
  <si>
    <t>vratky účel.prostř. MFČR - kap. OSFA</t>
  </si>
  <si>
    <r>
      <t xml:space="preserve">doplatky daně z nemovitosti </t>
    </r>
    <r>
      <rPr>
        <sz val="8"/>
        <rFont val="Arial CE"/>
        <family val="0"/>
      </rPr>
      <t>(dle údajů DPC MHMP)</t>
    </r>
  </si>
  <si>
    <t>pojistné za pěstouny  ÚZ 13310</t>
  </si>
  <si>
    <t>vratka poštovného SSP z finančního kreditu</t>
  </si>
  <si>
    <t>vratky účel prostř.ost.rezotr.min.</t>
  </si>
  <si>
    <t>z toho: vratka přeplatků místních poplatků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</si>
</sst>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left"/>
    </xf>
    <xf numFmtId="4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/>
    </xf>
    <xf numFmtId="4" fontId="0" fillId="0" borderId="13" xfId="0" applyNumberFormat="1" applyBorder="1" applyAlignment="1">
      <alignment/>
    </xf>
    <xf numFmtId="0" fontId="1" fillId="0" borderId="12" xfId="0" applyFont="1" applyBorder="1" applyAlignment="1">
      <alignment horizontal="left"/>
    </xf>
    <xf numFmtId="4" fontId="1" fillId="0" borderId="13" xfId="0" applyNumberFormat="1" applyFont="1" applyBorder="1" applyAlignment="1">
      <alignment/>
    </xf>
    <xf numFmtId="0" fontId="0" fillId="0" borderId="12" xfId="0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5" xfId="0" applyNumberFormat="1" applyFill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left" wrapText="1" indent="3"/>
    </xf>
    <xf numFmtId="0" fontId="3" fillId="0" borderId="7" xfId="0" applyFont="1" applyBorder="1" applyAlignment="1">
      <alignment horizontal="left" indent="3"/>
    </xf>
    <xf numFmtId="0" fontId="0" fillId="0" borderId="5" xfId="0" applyBorder="1" applyAlignment="1">
      <alignment horizontal="left" indent="3"/>
    </xf>
    <xf numFmtId="0" fontId="3" fillId="0" borderId="5" xfId="0" applyFont="1" applyBorder="1" applyAlignment="1">
      <alignment horizontal="left" indent="3"/>
    </xf>
    <xf numFmtId="0" fontId="3" fillId="0" borderId="7" xfId="0" applyFont="1" applyFill="1" applyBorder="1" applyAlignment="1">
      <alignment horizontal="left" indent="3"/>
    </xf>
    <xf numFmtId="0" fontId="3" fillId="0" borderId="5" xfId="0" applyFont="1" applyFill="1" applyBorder="1" applyAlignment="1">
      <alignment horizontal="left" indent="3"/>
    </xf>
    <xf numFmtId="0" fontId="0" fillId="0" borderId="7" xfId="0" applyBorder="1" applyAlignment="1">
      <alignment horizontal="left" indent="3"/>
    </xf>
    <xf numFmtId="4" fontId="1" fillId="0" borderId="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left" indent="3"/>
    </xf>
    <xf numFmtId="0" fontId="0" fillId="0" borderId="1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R50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0" sqref="B10"/>
    </sheetView>
  </sheetViews>
  <sheetFormatPr defaultColWidth="9.00390625" defaultRowHeight="12.75"/>
  <cols>
    <col min="1" max="1" width="4.00390625" style="0" customWidth="1"/>
    <col min="2" max="2" width="42.625" style="0" customWidth="1"/>
    <col min="3" max="3" width="15.00390625" style="3" bestFit="1" customWidth="1"/>
    <col min="4" max="4" width="12.875" style="3" bestFit="1" customWidth="1"/>
    <col min="5" max="5" width="14.00390625" style="3" bestFit="1" customWidth="1"/>
    <col min="6" max="7" width="12.875" style="3" bestFit="1" customWidth="1"/>
    <col min="8" max="8" width="13.75390625" style="3" customWidth="1"/>
    <col min="9" max="9" width="13.625" style="3" customWidth="1"/>
    <col min="10" max="10" width="13.375" style="3" bestFit="1" customWidth="1"/>
    <col min="11" max="11" width="14.00390625" style="3" customWidth="1"/>
    <col min="12" max="12" width="13.625" style="3" customWidth="1"/>
    <col min="13" max="13" width="13.375" style="3" customWidth="1"/>
    <col min="14" max="14" width="12.875" style="3" bestFit="1" customWidth="1"/>
    <col min="15" max="15" width="14.00390625" style="3" bestFit="1" customWidth="1"/>
    <col min="16" max="16" width="14.00390625" style="3" customWidth="1"/>
    <col min="17" max="18" width="14.00390625" style="3" bestFit="1" customWidth="1"/>
    <col min="19" max="19" width="12.875" style="3" bestFit="1" customWidth="1"/>
    <col min="20" max="20" width="12.625" style="3" customWidth="1"/>
    <col min="21" max="21" width="12.875" style="3" customWidth="1"/>
    <col min="22" max="22" width="13.625" style="3" customWidth="1"/>
    <col min="23" max="23" width="13.75390625" style="3" customWidth="1"/>
    <col min="24" max="24" width="14.00390625" style="3" bestFit="1" customWidth="1"/>
    <col min="25" max="25" width="12.625" style="3" customWidth="1"/>
    <col min="26" max="27" width="10.25390625" style="3" bestFit="1" customWidth="1"/>
    <col min="28" max="28" width="12.375" style="3" customWidth="1"/>
    <col min="29" max="29" width="12.875" style="3" bestFit="1" customWidth="1"/>
    <col min="30" max="30" width="10.75390625" style="3" customWidth="1"/>
    <col min="31" max="31" width="11.375" style="3" customWidth="1"/>
    <col min="32" max="32" width="11.875" style="3" bestFit="1" customWidth="1"/>
    <col min="33" max="34" width="12.875" style="3" bestFit="1" customWidth="1"/>
    <col min="35" max="35" width="12.25390625" style="3" customWidth="1"/>
    <col min="36" max="36" width="9.75390625" style="3" bestFit="1" customWidth="1"/>
    <col min="37" max="37" width="10.25390625" style="3" bestFit="1" customWidth="1"/>
    <col min="38" max="38" width="12.875" style="3" bestFit="1" customWidth="1"/>
    <col min="39" max="39" width="9.75390625" style="3" bestFit="1" customWidth="1"/>
    <col min="40" max="40" width="12.875" style="3" bestFit="1" customWidth="1"/>
    <col min="41" max="41" width="12.75390625" style="3" customWidth="1"/>
    <col min="42" max="42" width="12.25390625" style="3" customWidth="1"/>
    <col min="43" max="43" width="10.875" style="3" customWidth="1"/>
    <col min="44" max="44" width="11.25390625" style="3" bestFit="1" customWidth="1"/>
    <col min="45" max="45" width="9.75390625" style="3" bestFit="1" customWidth="1"/>
    <col min="46" max="46" width="11.125" style="3" customWidth="1"/>
    <col min="47" max="47" width="11.75390625" style="3" bestFit="1" customWidth="1"/>
    <col min="48" max="48" width="11.125" style="3" bestFit="1" customWidth="1"/>
    <col min="49" max="49" width="12.375" style="4" customWidth="1"/>
    <col min="50" max="50" width="12.875" style="3" bestFit="1" customWidth="1"/>
    <col min="51" max="51" width="11.25390625" style="3" bestFit="1" customWidth="1"/>
    <col min="52" max="53" width="9.75390625" style="3" bestFit="1" customWidth="1"/>
    <col min="54" max="54" width="12.375" style="3" customWidth="1"/>
    <col min="55" max="55" width="12.875" style="3" customWidth="1"/>
    <col min="56" max="56" width="12.875" style="3" bestFit="1" customWidth="1"/>
    <col min="57" max="57" width="10.125" style="3" bestFit="1" customWidth="1"/>
    <col min="58" max="58" width="10.25390625" style="3" bestFit="1" customWidth="1"/>
    <col min="59" max="59" width="12.875" style="3" bestFit="1" customWidth="1"/>
    <col min="60" max="60" width="10.75390625" style="3" bestFit="1" customWidth="1"/>
    <col min="61" max="61" width="10.75390625" style="0" customWidth="1"/>
    <col min="62" max="62" width="11.75390625" style="0" bestFit="1" customWidth="1"/>
    <col min="63" max="65" width="10.75390625" style="0" customWidth="1"/>
  </cols>
  <sheetData>
    <row r="3" spans="2:60" ht="12.75">
      <c r="B3" s="66" t="s">
        <v>77</v>
      </c>
      <c r="C3" s="1"/>
      <c r="D3" s="2"/>
      <c r="H3" s="2"/>
      <c r="L3" s="2"/>
      <c r="P3" s="2"/>
      <c r="T3" s="2"/>
      <c r="X3" s="2"/>
      <c r="AB3" s="2"/>
      <c r="AF3" s="2"/>
      <c r="AJ3" s="2"/>
      <c r="AN3" s="2"/>
      <c r="AR3" s="2"/>
      <c r="AV3" s="2"/>
      <c r="AZ3" s="2"/>
      <c r="BD3" s="2"/>
      <c r="BH3" s="2"/>
    </row>
    <row r="4" spans="2:60" ht="12.75">
      <c r="B4" s="5" t="s">
        <v>81</v>
      </c>
      <c r="C4" s="1"/>
      <c r="D4" s="2"/>
      <c r="H4" s="2"/>
      <c r="L4" s="2"/>
      <c r="P4" s="2"/>
      <c r="T4" s="2"/>
      <c r="X4" s="2"/>
      <c r="AB4" s="2"/>
      <c r="AF4" s="2"/>
      <c r="AJ4" s="2"/>
      <c r="AN4" s="2"/>
      <c r="AR4" s="2"/>
      <c r="AV4" s="2"/>
      <c r="AZ4" s="2"/>
      <c r="BD4" s="2"/>
      <c r="BH4" s="2"/>
    </row>
    <row r="5" spans="2:60" ht="12.75">
      <c r="B5" s="5"/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2:60" ht="12.75">
      <c r="B6" s="5"/>
      <c r="C6" s="1"/>
      <c r="D6" s="2"/>
      <c r="H6" s="2"/>
      <c r="L6" s="2"/>
      <c r="P6" s="2"/>
      <c r="T6" s="2"/>
      <c r="X6" s="2"/>
      <c r="AB6" s="2"/>
      <c r="AF6" s="2"/>
      <c r="AJ6" s="2"/>
      <c r="AN6" s="2"/>
      <c r="AR6" s="2"/>
      <c r="AV6" s="2"/>
      <c r="AZ6" s="2"/>
      <c r="BD6" s="2"/>
      <c r="BH6" s="2"/>
    </row>
    <row r="7" spans="2:60" ht="13.5" thickBot="1">
      <c r="B7" s="6"/>
      <c r="C7" s="1"/>
      <c r="D7" s="2"/>
      <c r="H7" s="2"/>
      <c r="L7" s="2"/>
      <c r="P7" s="2"/>
      <c r="T7" s="2"/>
      <c r="X7" s="2"/>
      <c r="AB7" s="2"/>
      <c r="AF7" s="2"/>
      <c r="AJ7" s="2"/>
      <c r="AN7" s="2"/>
      <c r="AR7" s="2"/>
      <c r="AV7" s="2"/>
      <c r="AZ7" s="2"/>
      <c r="BD7" s="2"/>
      <c r="BH7" s="2"/>
    </row>
    <row r="8" spans="1:70" ht="12.75">
      <c r="A8" s="7" t="s">
        <v>0</v>
      </c>
      <c r="B8" s="8" t="s">
        <v>1</v>
      </c>
      <c r="C8" s="9" t="s">
        <v>78</v>
      </c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>
        <v>32</v>
      </c>
      <c r="AJ8" s="9">
        <v>33</v>
      </c>
      <c r="AK8" s="9">
        <v>34</v>
      </c>
      <c r="AL8" s="9">
        <v>35</v>
      </c>
      <c r="AM8" s="9">
        <v>36</v>
      </c>
      <c r="AN8" s="9">
        <v>37</v>
      </c>
      <c r="AO8" s="9">
        <v>38</v>
      </c>
      <c r="AP8" s="9">
        <v>39</v>
      </c>
      <c r="AQ8" s="9">
        <v>40</v>
      </c>
      <c r="AR8" s="9">
        <v>41</v>
      </c>
      <c r="AS8" s="9">
        <v>42</v>
      </c>
      <c r="AT8" s="9">
        <v>43</v>
      </c>
      <c r="AU8" s="9">
        <v>44</v>
      </c>
      <c r="AV8" s="9">
        <v>45</v>
      </c>
      <c r="AW8" s="10">
        <v>46</v>
      </c>
      <c r="AX8" s="9">
        <v>47</v>
      </c>
      <c r="AY8" s="9">
        <v>48</v>
      </c>
      <c r="AZ8" s="9">
        <v>49</v>
      </c>
      <c r="BA8" s="9">
        <v>50</v>
      </c>
      <c r="BB8" s="9">
        <v>51</v>
      </c>
      <c r="BC8" s="9">
        <v>52</v>
      </c>
      <c r="BD8" s="9">
        <v>53</v>
      </c>
      <c r="BE8" s="9">
        <v>54</v>
      </c>
      <c r="BF8" s="9">
        <v>55</v>
      </c>
      <c r="BG8" s="9">
        <v>56</v>
      </c>
      <c r="BH8" s="9">
        <v>57</v>
      </c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70" ht="13.5" thickBot="1">
      <c r="A9" s="12" t="s">
        <v>2</v>
      </c>
      <c r="B9" s="13"/>
      <c r="C9" s="14" t="s">
        <v>79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  <c r="L9" s="14" t="s">
        <v>11</v>
      </c>
      <c r="M9" s="14" t="s">
        <v>12</v>
      </c>
      <c r="N9" s="14" t="s">
        <v>13</v>
      </c>
      <c r="O9" s="14" t="s">
        <v>14</v>
      </c>
      <c r="P9" s="14" t="s">
        <v>15</v>
      </c>
      <c r="Q9" s="14" t="s">
        <v>16</v>
      </c>
      <c r="R9" s="14" t="s">
        <v>17</v>
      </c>
      <c r="S9" s="14" t="s">
        <v>18</v>
      </c>
      <c r="T9" s="14" t="s">
        <v>19</v>
      </c>
      <c r="U9" s="14" t="s">
        <v>20</v>
      </c>
      <c r="V9" s="14" t="s">
        <v>21</v>
      </c>
      <c r="W9" s="14" t="s">
        <v>22</v>
      </c>
      <c r="X9" s="14" t="s">
        <v>23</v>
      </c>
      <c r="Y9" s="14" t="s">
        <v>24</v>
      </c>
      <c r="Z9" s="14" t="s">
        <v>25</v>
      </c>
      <c r="AA9" s="14" t="s">
        <v>26</v>
      </c>
      <c r="AB9" s="14" t="s">
        <v>27</v>
      </c>
      <c r="AC9" s="14" t="s">
        <v>28</v>
      </c>
      <c r="AD9" s="14" t="s">
        <v>29</v>
      </c>
      <c r="AE9" s="14" t="s">
        <v>30</v>
      </c>
      <c r="AF9" s="14" t="s">
        <v>31</v>
      </c>
      <c r="AG9" s="14" t="s">
        <v>32</v>
      </c>
      <c r="AH9" s="14" t="s">
        <v>33</v>
      </c>
      <c r="AI9" s="14" t="s">
        <v>34</v>
      </c>
      <c r="AJ9" s="14" t="s">
        <v>35</v>
      </c>
      <c r="AK9" s="14" t="s">
        <v>36</v>
      </c>
      <c r="AL9" s="14" t="s">
        <v>37</v>
      </c>
      <c r="AM9" s="14" t="s">
        <v>38</v>
      </c>
      <c r="AN9" s="14" t="s">
        <v>39</v>
      </c>
      <c r="AO9" s="14" t="s">
        <v>40</v>
      </c>
      <c r="AP9" s="14" t="s">
        <v>41</v>
      </c>
      <c r="AQ9" s="14" t="s">
        <v>42</v>
      </c>
      <c r="AR9" s="14" t="s">
        <v>43</v>
      </c>
      <c r="AS9" s="14" t="s">
        <v>44</v>
      </c>
      <c r="AT9" s="14" t="s">
        <v>45</v>
      </c>
      <c r="AU9" s="14" t="s">
        <v>46</v>
      </c>
      <c r="AV9" s="14" t="s">
        <v>47</v>
      </c>
      <c r="AW9" s="15" t="s">
        <v>48</v>
      </c>
      <c r="AX9" s="14" t="s">
        <v>49</v>
      </c>
      <c r="AY9" s="14" t="s">
        <v>50</v>
      </c>
      <c r="AZ9" s="14" t="s">
        <v>51</v>
      </c>
      <c r="BA9" s="14" t="s">
        <v>52</v>
      </c>
      <c r="BB9" s="14" t="s">
        <v>53</v>
      </c>
      <c r="BC9" s="14" t="s">
        <v>54</v>
      </c>
      <c r="BD9" s="14" t="s">
        <v>55</v>
      </c>
      <c r="BE9" s="14" t="s">
        <v>56</v>
      </c>
      <c r="BF9" s="14" t="s">
        <v>57</v>
      </c>
      <c r="BG9" s="14" t="s">
        <v>58</v>
      </c>
      <c r="BH9" s="14" t="s">
        <v>59</v>
      </c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60" ht="13.5" thickTop="1">
      <c r="A10" s="16"/>
      <c r="B10" s="7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ht="12.75">
      <c r="A11" s="24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ht="12.75">
      <c r="A12" s="24"/>
      <c r="B12" s="28" t="s">
        <v>60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60" ht="12.75">
      <c r="A13" s="19"/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7" s="31" customFormat="1" ht="12.75">
      <c r="A14" s="29" t="s">
        <v>61</v>
      </c>
      <c r="B14" s="28" t="s">
        <v>62</v>
      </c>
      <c r="C14" s="20">
        <f aca="true" t="shared" si="0" ref="C14:C20">SUM(D14:BH14)</f>
        <v>3684950.6700000004</v>
      </c>
      <c r="D14" s="30">
        <f>SUM(D15:D20)</f>
        <v>0</v>
      </c>
      <c r="E14" s="30">
        <f aca="true" t="shared" si="1" ref="E14:BH14">SUM(E15:E20)</f>
        <v>31497</v>
      </c>
      <c r="F14" s="30">
        <f t="shared" si="1"/>
        <v>0</v>
      </c>
      <c r="G14" s="30">
        <f t="shared" si="1"/>
        <v>0</v>
      </c>
      <c r="H14" s="30">
        <f t="shared" si="1"/>
        <v>1594092.51</v>
      </c>
      <c r="I14" s="30">
        <f t="shared" si="1"/>
        <v>0</v>
      </c>
      <c r="J14" s="30">
        <f t="shared" si="1"/>
        <v>373705.67</v>
      </c>
      <c r="K14" s="30">
        <f t="shared" si="1"/>
        <v>84372</v>
      </c>
      <c r="L14" s="30">
        <f t="shared" si="1"/>
        <v>725169.67</v>
      </c>
      <c r="M14" s="30">
        <f t="shared" si="1"/>
        <v>0</v>
      </c>
      <c r="N14" s="30">
        <f t="shared" si="1"/>
        <v>0</v>
      </c>
      <c r="O14" s="30">
        <f t="shared" si="1"/>
        <v>10303.22</v>
      </c>
      <c r="P14" s="30">
        <f t="shared" si="1"/>
        <v>0</v>
      </c>
      <c r="Q14" s="30">
        <f t="shared" si="1"/>
        <v>579788</v>
      </c>
      <c r="R14" s="30">
        <f t="shared" si="1"/>
        <v>0</v>
      </c>
      <c r="S14" s="30">
        <f t="shared" si="1"/>
        <v>0</v>
      </c>
      <c r="T14" s="30">
        <f t="shared" si="1"/>
        <v>0</v>
      </c>
      <c r="U14" s="30">
        <f t="shared" si="1"/>
        <v>172924.95</v>
      </c>
      <c r="V14" s="30">
        <f t="shared" si="1"/>
        <v>36175.77</v>
      </c>
      <c r="W14" s="30">
        <f t="shared" si="1"/>
        <v>0</v>
      </c>
      <c r="X14" s="30">
        <f t="shared" si="1"/>
        <v>0</v>
      </c>
      <c r="Y14" s="30">
        <f t="shared" si="1"/>
        <v>2970.1</v>
      </c>
      <c r="Z14" s="30">
        <f t="shared" si="1"/>
        <v>0</v>
      </c>
      <c r="AA14" s="30">
        <f t="shared" si="1"/>
        <v>0</v>
      </c>
      <c r="AB14" s="30">
        <f t="shared" si="1"/>
        <v>0</v>
      </c>
      <c r="AC14" s="30">
        <f t="shared" si="1"/>
        <v>0</v>
      </c>
      <c r="AD14" s="30">
        <f t="shared" si="1"/>
        <v>0</v>
      </c>
      <c r="AE14" s="30">
        <f t="shared" si="1"/>
        <v>0</v>
      </c>
      <c r="AF14" s="30">
        <f t="shared" si="1"/>
        <v>0</v>
      </c>
      <c r="AG14" s="30">
        <f t="shared" si="1"/>
        <v>2942.59</v>
      </c>
      <c r="AH14" s="30">
        <f t="shared" si="1"/>
        <v>0</v>
      </c>
      <c r="AI14" s="30">
        <f t="shared" si="1"/>
        <v>0</v>
      </c>
      <c r="AJ14" s="30">
        <f t="shared" si="1"/>
        <v>2218</v>
      </c>
      <c r="AK14" s="30">
        <f t="shared" si="1"/>
        <v>0</v>
      </c>
      <c r="AL14" s="30">
        <f t="shared" si="1"/>
        <v>0</v>
      </c>
      <c r="AM14" s="30">
        <f t="shared" si="1"/>
        <v>0</v>
      </c>
      <c r="AN14" s="30">
        <f t="shared" si="1"/>
        <v>0</v>
      </c>
      <c r="AO14" s="30">
        <f t="shared" si="1"/>
        <v>0</v>
      </c>
      <c r="AP14" s="30">
        <f t="shared" si="1"/>
        <v>0</v>
      </c>
      <c r="AQ14" s="30">
        <f t="shared" si="1"/>
        <v>0</v>
      </c>
      <c r="AR14" s="30">
        <f t="shared" si="1"/>
        <v>0</v>
      </c>
      <c r="AS14" s="30">
        <f t="shared" si="1"/>
        <v>0</v>
      </c>
      <c r="AT14" s="30">
        <f t="shared" si="1"/>
        <v>0</v>
      </c>
      <c r="AU14" s="30">
        <f t="shared" si="1"/>
        <v>0</v>
      </c>
      <c r="AV14" s="30">
        <f t="shared" si="1"/>
        <v>0</v>
      </c>
      <c r="AW14" s="30">
        <f t="shared" si="1"/>
        <v>31913.81</v>
      </c>
      <c r="AX14" s="30">
        <f t="shared" si="1"/>
        <v>0</v>
      </c>
      <c r="AY14" s="30">
        <f t="shared" si="1"/>
        <v>0</v>
      </c>
      <c r="AZ14" s="30">
        <f t="shared" si="1"/>
        <v>0</v>
      </c>
      <c r="BA14" s="30">
        <f t="shared" si="1"/>
        <v>0</v>
      </c>
      <c r="BB14" s="30">
        <f t="shared" si="1"/>
        <v>0</v>
      </c>
      <c r="BC14" s="30">
        <f t="shared" si="1"/>
        <v>0</v>
      </c>
      <c r="BD14" s="30">
        <f t="shared" si="1"/>
        <v>0</v>
      </c>
      <c r="BE14" s="30">
        <f t="shared" si="1"/>
        <v>0</v>
      </c>
      <c r="BF14" s="30">
        <f t="shared" si="1"/>
        <v>2508.38</v>
      </c>
      <c r="BG14" s="30">
        <f t="shared" si="1"/>
        <v>0</v>
      </c>
      <c r="BH14" s="30">
        <f t="shared" si="1"/>
        <v>34369</v>
      </c>
      <c r="BI14" s="74"/>
      <c r="BJ14" s="75"/>
      <c r="BK14" s="75"/>
      <c r="BL14" s="75"/>
      <c r="BM14" s="75"/>
      <c r="BN14" s="75"/>
      <c r="BO14" s="75"/>
    </row>
    <row r="15" spans="1:60" ht="12.75">
      <c r="A15" s="32"/>
      <c r="B15" s="64" t="s">
        <v>76</v>
      </c>
      <c r="C15" s="20">
        <f t="shared" si="0"/>
        <v>221000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v>221000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ht="12.75">
      <c r="A16" s="33"/>
      <c r="B16" s="68" t="s">
        <v>83</v>
      </c>
      <c r="C16" s="20">
        <f t="shared" si="0"/>
        <v>371993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>
        <v>240459</v>
      </c>
      <c r="R16" s="27"/>
      <c r="S16" s="27"/>
      <c r="T16" s="27"/>
      <c r="U16" s="27">
        <v>131534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ht="12.75">
      <c r="A17" s="33"/>
      <c r="B17" s="68" t="s">
        <v>84</v>
      </c>
      <c r="C17" s="20">
        <f t="shared" si="0"/>
        <v>73870.8</v>
      </c>
      <c r="D17" s="27"/>
      <c r="E17" s="27"/>
      <c r="F17" s="27"/>
      <c r="G17" s="27"/>
      <c r="H17" s="27">
        <v>4276.7</v>
      </c>
      <c r="I17" s="27"/>
      <c r="J17" s="27"/>
      <c r="K17" s="27">
        <v>66624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>
        <v>2970.1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ht="12.75">
      <c r="A18" s="33"/>
      <c r="B18" s="68" t="s">
        <v>82</v>
      </c>
      <c r="C18" s="20">
        <f t="shared" si="0"/>
        <v>2960312.98</v>
      </c>
      <c r="D18" s="27"/>
      <c r="E18" s="27">
        <v>31497</v>
      </c>
      <c r="F18" s="27"/>
      <c r="G18" s="27"/>
      <c r="H18" s="27">
        <v>1563431.81</v>
      </c>
      <c r="I18" s="27"/>
      <c r="J18" s="27">
        <v>373705.67</v>
      </c>
      <c r="K18" s="27"/>
      <c r="L18" s="27">
        <v>725169.67</v>
      </c>
      <c r="M18" s="27"/>
      <c r="N18" s="27"/>
      <c r="O18" s="27"/>
      <c r="P18" s="27"/>
      <c r="Q18" s="27">
        <v>118329</v>
      </c>
      <c r="R18" s="27"/>
      <c r="S18" s="27"/>
      <c r="T18" s="27"/>
      <c r="U18" s="27">
        <v>41390.95</v>
      </c>
      <c r="V18" s="27">
        <v>32837.1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>
        <v>2942.59</v>
      </c>
      <c r="AH18" s="27"/>
      <c r="AI18" s="27"/>
      <c r="AJ18" s="27">
        <v>2218</v>
      </c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>
        <v>31913.81</v>
      </c>
      <c r="AX18" s="27"/>
      <c r="AY18" s="27"/>
      <c r="AZ18" s="27"/>
      <c r="BA18" s="27"/>
      <c r="BB18" s="27"/>
      <c r="BC18" s="27"/>
      <c r="BD18" s="27"/>
      <c r="BE18" s="27"/>
      <c r="BF18" s="27">
        <v>2508.38</v>
      </c>
      <c r="BG18" s="27"/>
      <c r="BH18" s="27">
        <v>34369</v>
      </c>
    </row>
    <row r="19" spans="1:60" ht="24">
      <c r="A19" s="33"/>
      <c r="B19" s="67" t="s">
        <v>80</v>
      </c>
      <c r="C19" s="20">
        <f t="shared" si="0"/>
        <v>13641.89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>
        <v>10303.22</v>
      </c>
      <c r="P19" s="27"/>
      <c r="Q19" s="27"/>
      <c r="R19" s="27"/>
      <c r="S19" s="27"/>
      <c r="T19" s="27"/>
      <c r="U19" s="27"/>
      <c r="V19" s="27">
        <v>3338.67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ht="12.75">
      <c r="A20" s="33"/>
      <c r="B20" s="76" t="s">
        <v>94</v>
      </c>
      <c r="C20" s="20">
        <f t="shared" si="0"/>
        <v>44132</v>
      </c>
      <c r="D20" s="27"/>
      <c r="E20" s="27"/>
      <c r="F20" s="27"/>
      <c r="G20" s="27"/>
      <c r="H20" s="27">
        <v>26384</v>
      </c>
      <c r="I20" s="27"/>
      <c r="J20" s="27"/>
      <c r="K20" s="27">
        <v>17748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ht="12.75">
      <c r="A21" s="33"/>
      <c r="B21" s="73"/>
      <c r="C21" s="2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s="31" customFormat="1" ht="12.75">
      <c r="A22" s="34" t="s">
        <v>63</v>
      </c>
      <c r="B22" s="34" t="s">
        <v>64</v>
      </c>
      <c r="C22" s="20">
        <f>SUM(D22:BH22)</f>
        <v>476201.47000000003</v>
      </c>
      <c r="D22" s="26">
        <f aca="true" t="shared" si="2" ref="D22:AI22">SUM(D23:D25)</f>
        <v>120430</v>
      </c>
      <c r="E22" s="26">
        <f t="shared" si="2"/>
        <v>138107.91</v>
      </c>
      <c r="F22" s="26">
        <f t="shared" si="2"/>
        <v>121640</v>
      </c>
      <c r="G22" s="26">
        <f t="shared" si="2"/>
        <v>13450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26">
        <f t="shared" si="2"/>
        <v>0</v>
      </c>
      <c r="L22" s="26">
        <f t="shared" si="2"/>
        <v>0</v>
      </c>
      <c r="M22" s="26">
        <f t="shared" si="2"/>
        <v>0</v>
      </c>
      <c r="N22" s="26">
        <f t="shared" si="2"/>
        <v>0</v>
      </c>
      <c r="O22" s="26">
        <f t="shared" si="2"/>
        <v>0</v>
      </c>
      <c r="P22" s="26">
        <f t="shared" si="2"/>
        <v>0</v>
      </c>
      <c r="Q22" s="26">
        <f t="shared" si="2"/>
        <v>0</v>
      </c>
      <c r="R22" s="26">
        <f t="shared" si="2"/>
        <v>0</v>
      </c>
      <c r="S22" s="26">
        <f t="shared" si="2"/>
        <v>68470</v>
      </c>
      <c r="T22" s="26">
        <f t="shared" si="2"/>
        <v>0</v>
      </c>
      <c r="U22" s="26">
        <f t="shared" si="2"/>
        <v>502</v>
      </c>
      <c r="V22" s="26">
        <f t="shared" si="2"/>
        <v>0</v>
      </c>
      <c r="W22" s="26">
        <f t="shared" si="2"/>
        <v>0</v>
      </c>
      <c r="X22" s="26">
        <f t="shared" si="2"/>
        <v>0</v>
      </c>
      <c r="Y22" s="26">
        <f t="shared" si="2"/>
        <v>0</v>
      </c>
      <c r="Z22" s="26">
        <f t="shared" si="2"/>
        <v>0</v>
      </c>
      <c r="AA22" s="26">
        <f t="shared" si="2"/>
        <v>0</v>
      </c>
      <c r="AB22" s="26">
        <f t="shared" si="2"/>
        <v>0</v>
      </c>
      <c r="AC22" s="26">
        <f t="shared" si="2"/>
        <v>250</v>
      </c>
      <c r="AD22" s="26">
        <f t="shared" si="2"/>
        <v>0</v>
      </c>
      <c r="AE22" s="26">
        <f t="shared" si="2"/>
        <v>0</v>
      </c>
      <c r="AF22" s="26">
        <f t="shared" si="2"/>
        <v>0</v>
      </c>
      <c r="AG22" s="26">
        <f t="shared" si="2"/>
        <v>0</v>
      </c>
      <c r="AH22" s="26">
        <f t="shared" si="2"/>
        <v>0</v>
      </c>
      <c r="AI22" s="26">
        <f t="shared" si="2"/>
        <v>0</v>
      </c>
      <c r="AJ22" s="26">
        <f aca="true" t="shared" si="3" ref="AJ22:BH22">SUM(AJ23:AJ25)</f>
        <v>0</v>
      </c>
      <c r="AK22" s="26">
        <f t="shared" si="3"/>
        <v>49.25</v>
      </c>
      <c r="AL22" s="26">
        <f t="shared" si="3"/>
        <v>0</v>
      </c>
      <c r="AM22" s="26">
        <f t="shared" si="3"/>
        <v>0</v>
      </c>
      <c r="AN22" s="26">
        <f t="shared" si="3"/>
        <v>0</v>
      </c>
      <c r="AO22" s="26">
        <f t="shared" si="3"/>
        <v>0</v>
      </c>
      <c r="AP22" s="26">
        <f t="shared" si="3"/>
        <v>0</v>
      </c>
      <c r="AQ22" s="26">
        <f t="shared" si="3"/>
        <v>0</v>
      </c>
      <c r="AR22" s="26">
        <f t="shared" si="3"/>
        <v>0</v>
      </c>
      <c r="AS22" s="26">
        <f t="shared" si="3"/>
        <v>0</v>
      </c>
      <c r="AT22" s="26">
        <f t="shared" si="3"/>
        <v>0</v>
      </c>
      <c r="AU22" s="26">
        <f t="shared" si="3"/>
        <v>0</v>
      </c>
      <c r="AV22" s="26">
        <f t="shared" si="3"/>
        <v>0</v>
      </c>
      <c r="AW22" s="26">
        <f t="shared" si="3"/>
        <v>0</v>
      </c>
      <c r="AX22" s="26">
        <f t="shared" si="3"/>
        <v>50</v>
      </c>
      <c r="AY22" s="26">
        <f t="shared" si="3"/>
        <v>0</v>
      </c>
      <c r="AZ22" s="26">
        <f t="shared" si="3"/>
        <v>3400</v>
      </c>
      <c r="BA22" s="26">
        <f t="shared" si="3"/>
        <v>0</v>
      </c>
      <c r="BB22" s="26">
        <f t="shared" si="3"/>
        <v>0</v>
      </c>
      <c r="BC22" s="26">
        <f t="shared" si="3"/>
        <v>0</v>
      </c>
      <c r="BD22" s="26">
        <f t="shared" si="3"/>
        <v>0</v>
      </c>
      <c r="BE22" s="26">
        <f t="shared" si="3"/>
        <v>9851.06</v>
      </c>
      <c r="BF22" s="26">
        <f t="shared" si="3"/>
        <v>0</v>
      </c>
      <c r="BG22" s="26">
        <f t="shared" si="3"/>
        <v>1.25</v>
      </c>
      <c r="BH22" s="26">
        <f t="shared" si="3"/>
        <v>0</v>
      </c>
    </row>
    <row r="23" spans="1:60" ht="12.75">
      <c r="A23" s="33"/>
      <c r="B23" s="63" t="s">
        <v>97</v>
      </c>
      <c r="C23" s="20">
        <f>SUM(D23:BH23)</f>
        <v>2019.56</v>
      </c>
      <c r="D23" s="27">
        <v>1398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>
        <v>250</v>
      </c>
      <c r="AD23" s="27"/>
      <c r="AE23" s="27"/>
      <c r="AF23" s="27"/>
      <c r="AG23" s="27"/>
      <c r="AH23" s="27"/>
      <c r="AI23" s="27"/>
      <c r="AJ23" s="27"/>
      <c r="AK23" s="27">
        <v>49.25</v>
      </c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>
        <v>50</v>
      </c>
      <c r="AY23" s="27"/>
      <c r="AZ23" s="27"/>
      <c r="BA23" s="27"/>
      <c r="BB23" s="27"/>
      <c r="BC23" s="27"/>
      <c r="BD23" s="27"/>
      <c r="BE23" s="27">
        <v>271.06</v>
      </c>
      <c r="BF23" s="27"/>
      <c r="BG23" s="27">
        <v>1.25</v>
      </c>
      <c r="BH23" s="27"/>
    </row>
    <row r="24" spans="1:62" s="35" customFormat="1" ht="12.75">
      <c r="A24" s="33"/>
      <c r="B24" s="68" t="s">
        <v>93</v>
      </c>
      <c r="C24" s="26">
        <f>SUM(D24:BH24)</f>
        <v>257139.91</v>
      </c>
      <c r="D24" s="27">
        <v>119032</v>
      </c>
      <c r="E24" s="27">
        <v>138107.91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J24" s="65"/>
    </row>
    <row r="25" spans="1:60" s="39" customFormat="1" ht="12.75">
      <c r="A25" s="37"/>
      <c r="B25" s="68" t="s">
        <v>85</v>
      </c>
      <c r="C25" s="36">
        <f>SUM(D25:BH25)</f>
        <v>217042</v>
      </c>
      <c r="D25" s="38"/>
      <c r="E25" s="38"/>
      <c r="F25" s="38">
        <v>121640</v>
      </c>
      <c r="G25" s="38">
        <v>13450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>
        <v>68470</v>
      </c>
      <c r="T25" s="38"/>
      <c r="U25" s="38">
        <v>502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>
        <v>3400</v>
      </c>
      <c r="BA25" s="38"/>
      <c r="BB25" s="38"/>
      <c r="BC25" s="38"/>
      <c r="BD25" s="38"/>
      <c r="BE25" s="38">
        <v>9580</v>
      </c>
      <c r="BF25" s="38"/>
      <c r="BG25" s="38"/>
      <c r="BH25" s="38"/>
    </row>
    <row r="26" spans="1:60" ht="13.5" thickBot="1">
      <c r="A26" s="22"/>
      <c r="B26" s="24"/>
      <c r="C26" s="20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s="42" customFormat="1" ht="14.25" thickBot="1" thickTop="1">
      <c r="A27" s="40" t="s">
        <v>65</v>
      </c>
      <c r="B27" s="40" t="s">
        <v>66</v>
      </c>
      <c r="C27" s="41">
        <f>SUM(D27:BH27)</f>
        <v>4161152.14</v>
      </c>
      <c r="D27" s="41">
        <f aca="true" t="shared" si="4" ref="D27:AI27">SUM(D14,D22)</f>
        <v>120430</v>
      </c>
      <c r="E27" s="41">
        <f t="shared" si="4"/>
        <v>169604.91</v>
      </c>
      <c r="F27" s="41">
        <f t="shared" si="4"/>
        <v>121640</v>
      </c>
      <c r="G27" s="41">
        <f t="shared" si="4"/>
        <v>13450</v>
      </c>
      <c r="H27" s="41">
        <f t="shared" si="4"/>
        <v>1594092.51</v>
      </c>
      <c r="I27" s="41">
        <f t="shared" si="4"/>
        <v>0</v>
      </c>
      <c r="J27" s="41">
        <f t="shared" si="4"/>
        <v>373705.67</v>
      </c>
      <c r="K27" s="41">
        <f t="shared" si="4"/>
        <v>84372</v>
      </c>
      <c r="L27" s="41">
        <f t="shared" si="4"/>
        <v>725169.67</v>
      </c>
      <c r="M27" s="41">
        <f t="shared" si="4"/>
        <v>0</v>
      </c>
      <c r="N27" s="41">
        <f t="shared" si="4"/>
        <v>0</v>
      </c>
      <c r="O27" s="41">
        <f t="shared" si="4"/>
        <v>10303.22</v>
      </c>
      <c r="P27" s="41">
        <f t="shared" si="4"/>
        <v>0</v>
      </c>
      <c r="Q27" s="41">
        <f t="shared" si="4"/>
        <v>579788</v>
      </c>
      <c r="R27" s="41">
        <f t="shared" si="4"/>
        <v>0</v>
      </c>
      <c r="S27" s="41">
        <f t="shared" si="4"/>
        <v>68470</v>
      </c>
      <c r="T27" s="41">
        <f t="shared" si="4"/>
        <v>0</v>
      </c>
      <c r="U27" s="41">
        <f t="shared" si="4"/>
        <v>173426.95</v>
      </c>
      <c r="V27" s="41">
        <f t="shared" si="4"/>
        <v>36175.77</v>
      </c>
      <c r="W27" s="41">
        <f t="shared" si="4"/>
        <v>0</v>
      </c>
      <c r="X27" s="41">
        <f t="shared" si="4"/>
        <v>0</v>
      </c>
      <c r="Y27" s="41">
        <f t="shared" si="4"/>
        <v>2970.1</v>
      </c>
      <c r="Z27" s="41">
        <f t="shared" si="4"/>
        <v>0</v>
      </c>
      <c r="AA27" s="41">
        <f t="shared" si="4"/>
        <v>0</v>
      </c>
      <c r="AB27" s="41">
        <f t="shared" si="4"/>
        <v>0</v>
      </c>
      <c r="AC27" s="41">
        <f t="shared" si="4"/>
        <v>250</v>
      </c>
      <c r="AD27" s="41">
        <f t="shared" si="4"/>
        <v>0</v>
      </c>
      <c r="AE27" s="41">
        <f t="shared" si="4"/>
        <v>0</v>
      </c>
      <c r="AF27" s="41">
        <f t="shared" si="4"/>
        <v>0</v>
      </c>
      <c r="AG27" s="41">
        <f t="shared" si="4"/>
        <v>2942.59</v>
      </c>
      <c r="AH27" s="41">
        <f t="shared" si="4"/>
        <v>0</v>
      </c>
      <c r="AI27" s="41">
        <f t="shared" si="4"/>
        <v>0</v>
      </c>
      <c r="AJ27" s="41">
        <f aca="true" t="shared" si="5" ref="AJ27:BH27">SUM(AJ14,AJ22)</f>
        <v>2218</v>
      </c>
      <c r="AK27" s="41">
        <f t="shared" si="5"/>
        <v>49.25</v>
      </c>
      <c r="AL27" s="41">
        <f t="shared" si="5"/>
        <v>0</v>
      </c>
      <c r="AM27" s="41">
        <f t="shared" si="5"/>
        <v>0</v>
      </c>
      <c r="AN27" s="41">
        <f t="shared" si="5"/>
        <v>0</v>
      </c>
      <c r="AO27" s="41">
        <f t="shared" si="5"/>
        <v>0</v>
      </c>
      <c r="AP27" s="41">
        <f t="shared" si="5"/>
        <v>0</v>
      </c>
      <c r="AQ27" s="41">
        <f t="shared" si="5"/>
        <v>0</v>
      </c>
      <c r="AR27" s="41">
        <f t="shared" si="5"/>
        <v>0</v>
      </c>
      <c r="AS27" s="41">
        <f t="shared" si="5"/>
        <v>0</v>
      </c>
      <c r="AT27" s="41">
        <f t="shared" si="5"/>
        <v>0</v>
      </c>
      <c r="AU27" s="41">
        <f t="shared" si="5"/>
        <v>0</v>
      </c>
      <c r="AV27" s="41">
        <f t="shared" si="5"/>
        <v>0</v>
      </c>
      <c r="AW27" s="41">
        <f t="shared" si="5"/>
        <v>31913.81</v>
      </c>
      <c r="AX27" s="41">
        <f t="shared" si="5"/>
        <v>50</v>
      </c>
      <c r="AY27" s="41">
        <f t="shared" si="5"/>
        <v>0</v>
      </c>
      <c r="AZ27" s="41">
        <f t="shared" si="5"/>
        <v>3400</v>
      </c>
      <c r="BA27" s="41">
        <f t="shared" si="5"/>
        <v>0</v>
      </c>
      <c r="BB27" s="41">
        <f t="shared" si="5"/>
        <v>0</v>
      </c>
      <c r="BC27" s="41">
        <f t="shared" si="5"/>
        <v>0</v>
      </c>
      <c r="BD27" s="41">
        <f t="shared" si="5"/>
        <v>0</v>
      </c>
      <c r="BE27" s="41">
        <f t="shared" si="5"/>
        <v>9851.06</v>
      </c>
      <c r="BF27" s="41">
        <f t="shared" si="5"/>
        <v>2508.38</v>
      </c>
      <c r="BG27" s="41">
        <f t="shared" si="5"/>
        <v>1.25</v>
      </c>
      <c r="BH27" s="41">
        <f t="shared" si="5"/>
        <v>34369</v>
      </c>
    </row>
    <row r="28" spans="1:60" s="46" customFormat="1" ht="13.5" thickTop="1">
      <c r="A28" s="43"/>
      <c r="B28" s="44"/>
      <c r="C28" s="30"/>
      <c r="D28" s="45"/>
      <c r="E28" s="61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1:60" ht="12.75">
      <c r="A29" s="47"/>
      <c r="B29" s="48" t="s">
        <v>67</v>
      </c>
      <c r="C29" s="20"/>
      <c r="D29" s="49"/>
      <c r="E29" s="21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</row>
    <row r="30" spans="1:60" ht="12.75">
      <c r="A30" s="47"/>
      <c r="B30" s="19"/>
      <c r="C30" s="20"/>
      <c r="D30" s="49"/>
      <c r="E30" s="21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</row>
    <row r="31" spans="1:60" s="31" customFormat="1" ht="12.75">
      <c r="A31" s="50" t="s">
        <v>68</v>
      </c>
      <c r="B31" s="48" t="s">
        <v>69</v>
      </c>
      <c r="C31" s="20">
        <f aca="true" t="shared" si="6" ref="C31:C40">SUM(D31:BH31)</f>
        <v>67181767.28</v>
      </c>
      <c r="D31" s="51">
        <f>SUM(D32:D40)</f>
        <v>1420470.3</v>
      </c>
      <c r="E31" s="51">
        <f aca="true" t="shared" si="7" ref="E31:BH31">SUM(E32:E40)</f>
        <v>3106945.8899999997</v>
      </c>
      <c r="F31" s="51">
        <f t="shared" si="7"/>
        <v>1833207.7</v>
      </c>
      <c r="G31" s="51">
        <f t="shared" si="7"/>
        <v>8360594.85</v>
      </c>
      <c r="H31" s="51">
        <f t="shared" si="7"/>
        <v>5050604.44</v>
      </c>
      <c r="I31" s="51">
        <f t="shared" si="7"/>
        <v>6712282.04</v>
      </c>
      <c r="J31" s="51">
        <f t="shared" si="7"/>
        <v>2539523.49</v>
      </c>
      <c r="K31" s="51">
        <f t="shared" si="7"/>
        <v>3944788</v>
      </c>
      <c r="L31" s="51">
        <f t="shared" si="7"/>
        <v>5337273</v>
      </c>
      <c r="M31" s="51">
        <f t="shared" si="7"/>
        <v>5110874.35</v>
      </c>
      <c r="N31" s="51">
        <f t="shared" si="7"/>
        <v>4864260.68</v>
      </c>
      <c r="O31" s="51">
        <f t="shared" si="7"/>
        <v>2801029</v>
      </c>
      <c r="P31" s="51">
        <f t="shared" si="7"/>
        <v>1019596.44</v>
      </c>
      <c r="Q31" s="51">
        <f t="shared" si="7"/>
        <v>255116.4</v>
      </c>
      <c r="R31" s="51">
        <f t="shared" si="7"/>
        <v>2872920.5</v>
      </c>
      <c r="S31" s="51">
        <f t="shared" si="7"/>
        <v>1888807.3</v>
      </c>
      <c r="T31" s="51">
        <f t="shared" si="7"/>
        <v>2023990</v>
      </c>
      <c r="U31" s="51">
        <f t="shared" si="7"/>
        <v>1353731.1</v>
      </c>
      <c r="V31" s="51">
        <f t="shared" si="7"/>
        <v>1056515</v>
      </c>
      <c r="W31" s="51">
        <f t="shared" si="7"/>
        <v>4538768.27</v>
      </c>
      <c r="X31" s="51">
        <f t="shared" si="7"/>
        <v>467470.41</v>
      </c>
      <c r="Y31" s="51">
        <f t="shared" si="7"/>
        <v>595769</v>
      </c>
      <c r="Z31" s="51">
        <f t="shared" si="7"/>
        <v>13371.4</v>
      </c>
      <c r="AA31" s="51">
        <f t="shared" si="7"/>
        <v>0</v>
      </c>
      <c r="AB31" s="51">
        <f t="shared" si="7"/>
        <v>0</v>
      </c>
      <c r="AC31" s="51">
        <f t="shared" si="7"/>
        <v>0</v>
      </c>
      <c r="AD31" s="51">
        <f t="shared" si="7"/>
        <v>0</v>
      </c>
      <c r="AE31" s="51">
        <f t="shared" si="7"/>
        <v>0</v>
      </c>
      <c r="AF31" s="51">
        <f t="shared" si="7"/>
        <v>0</v>
      </c>
      <c r="AG31" s="51">
        <f t="shared" si="7"/>
        <v>0</v>
      </c>
      <c r="AH31" s="51">
        <f t="shared" si="7"/>
        <v>6201</v>
      </c>
      <c r="AI31" s="51">
        <f t="shared" si="7"/>
        <v>0</v>
      </c>
      <c r="AJ31" s="51">
        <f t="shared" si="7"/>
        <v>0</v>
      </c>
      <c r="AK31" s="51">
        <f t="shared" si="7"/>
        <v>0</v>
      </c>
      <c r="AL31" s="51">
        <f t="shared" si="7"/>
        <v>0</v>
      </c>
      <c r="AM31" s="51">
        <f t="shared" si="7"/>
        <v>0</v>
      </c>
      <c r="AN31" s="51">
        <f t="shared" si="7"/>
        <v>0</v>
      </c>
      <c r="AO31" s="51">
        <f t="shared" si="7"/>
        <v>0</v>
      </c>
      <c r="AP31" s="51">
        <f t="shared" si="7"/>
        <v>0</v>
      </c>
      <c r="AQ31" s="51">
        <f t="shared" si="7"/>
        <v>0</v>
      </c>
      <c r="AR31" s="51">
        <f t="shared" si="7"/>
        <v>0</v>
      </c>
      <c r="AS31" s="51">
        <f t="shared" si="7"/>
        <v>0</v>
      </c>
      <c r="AT31" s="51">
        <f t="shared" si="7"/>
        <v>0</v>
      </c>
      <c r="AU31" s="51">
        <f t="shared" si="7"/>
        <v>0</v>
      </c>
      <c r="AV31" s="51">
        <f t="shared" si="7"/>
        <v>0</v>
      </c>
      <c r="AW31" s="51">
        <f t="shared" si="7"/>
        <v>0</v>
      </c>
      <c r="AX31" s="51">
        <f t="shared" si="7"/>
        <v>863</v>
      </c>
      <c r="AY31" s="51">
        <f t="shared" si="7"/>
        <v>3668.2</v>
      </c>
      <c r="AZ31" s="51">
        <f t="shared" si="7"/>
        <v>1551.7</v>
      </c>
      <c r="BA31" s="51">
        <f t="shared" si="7"/>
        <v>715</v>
      </c>
      <c r="BB31" s="51">
        <f t="shared" si="7"/>
        <v>0</v>
      </c>
      <c r="BC31" s="51">
        <f t="shared" si="7"/>
        <v>58.82</v>
      </c>
      <c r="BD31" s="51">
        <f t="shared" si="7"/>
        <v>800</v>
      </c>
      <c r="BE31" s="51">
        <f t="shared" si="7"/>
        <v>0</v>
      </c>
      <c r="BF31" s="51">
        <f t="shared" si="7"/>
        <v>0</v>
      </c>
      <c r="BG31" s="51">
        <f t="shared" si="7"/>
        <v>0</v>
      </c>
      <c r="BH31" s="51">
        <f t="shared" si="7"/>
        <v>0</v>
      </c>
    </row>
    <row r="32" spans="1:60" ht="12.75">
      <c r="A32" s="47"/>
      <c r="B32" s="64" t="s">
        <v>76</v>
      </c>
      <c r="C32" s="20">
        <f t="shared" si="6"/>
        <v>37197000</v>
      </c>
      <c r="D32" s="49">
        <v>1302000</v>
      </c>
      <c r="E32" s="21">
        <v>2275000</v>
      </c>
      <c r="F32" s="49">
        <v>231000</v>
      </c>
      <c r="G32" s="49">
        <v>1803000</v>
      </c>
      <c r="H32" s="49">
        <v>4201000</v>
      </c>
      <c r="I32" s="49">
        <v>4061000</v>
      </c>
      <c r="J32" s="49">
        <v>1098000</v>
      </c>
      <c r="K32" s="49">
        <v>3631500</v>
      </c>
      <c r="L32" s="49">
        <v>2493000</v>
      </c>
      <c r="M32" s="49">
        <v>2634500</v>
      </c>
      <c r="N32" s="49">
        <v>3061000</v>
      </c>
      <c r="O32" s="49">
        <v>1785000</v>
      </c>
      <c r="P32" s="49">
        <v>372000</v>
      </c>
      <c r="Q32" s="49"/>
      <c r="R32" s="49">
        <v>1930000</v>
      </c>
      <c r="S32" s="49">
        <v>1276000</v>
      </c>
      <c r="T32" s="49">
        <v>1097000</v>
      </c>
      <c r="U32" s="49">
        <v>1298000</v>
      </c>
      <c r="V32" s="49">
        <v>626000</v>
      </c>
      <c r="W32" s="49">
        <v>1528000</v>
      </c>
      <c r="X32" s="49">
        <v>428000</v>
      </c>
      <c r="Y32" s="49">
        <v>66000</v>
      </c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</row>
    <row r="33" spans="1:60" ht="12.75">
      <c r="A33" s="47"/>
      <c r="B33" s="68" t="s">
        <v>83</v>
      </c>
      <c r="C33" s="20">
        <f t="shared" si="6"/>
        <v>17962134</v>
      </c>
      <c r="D33" s="49">
        <v>70799</v>
      </c>
      <c r="E33" s="21">
        <v>324526.5</v>
      </c>
      <c r="F33" s="49">
        <v>1312717</v>
      </c>
      <c r="G33" s="49">
        <v>941901.5</v>
      </c>
      <c r="H33" s="49">
        <v>848821</v>
      </c>
      <c r="I33" s="49">
        <v>1074383</v>
      </c>
      <c r="J33" s="49">
        <v>589087</v>
      </c>
      <c r="K33" s="49">
        <v>313288</v>
      </c>
      <c r="L33" s="49">
        <v>2795281</v>
      </c>
      <c r="M33" s="49">
        <v>1144561</v>
      </c>
      <c r="N33" s="49">
        <v>1375347</v>
      </c>
      <c r="O33" s="49">
        <v>904041</v>
      </c>
      <c r="P33" s="49">
        <v>444167</v>
      </c>
      <c r="Q33" s="49"/>
      <c r="R33" s="49">
        <v>813666</v>
      </c>
      <c r="S33" s="49">
        <v>605129</v>
      </c>
      <c r="T33" s="49">
        <v>722791</v>
      </c>
      <c r="U33" s="49"/>
      <c r="V33" s="49">
        <v>391475</v>
      </c>
      <c r="W33" s="49">
        <v>2721331</v>
      </c>
      <c r="X33" s="49">
        <v>39053</v>
      </c>
      <c r="Y33" s="49">
        <v>529769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</row>
    <row r="34" spans="1:60" ht="12.75">
      <c r="A34" s="47"/>
      <c r="B34" s="72" t="s">
        <v>87</v>
      </c>
      <c r="C34" s="20">
        <f t="shared" si="6"/>
        <v>1244198.5000000002</v>
      </c>
      <c r="D34" s="49">
        <v>32363.2</v>
      </c>
      <c r="E34" s="21">
        <v>58658</v>
      </c>
      <c r="F34" s="49">
        <v>144856.7</v>
      </c>
      <c r="G34" s="49">
        <v>221814</v>
      </c>
      <c r="H34" s="49"/>
      <c r="I34" s="49">
        <v>154102</v>
      </c>
      <c r="J34" s="49">
        <v>6160.3</v>
      </c>
      <c r="K34" s="49"/>
      <c r="L34" s="49">
        <v>48992</v>
      </c>
      <c r="M34" s="49">
        <v>205364</v>
      </c>
      <c r="N34" s="49"/>
      <c r="O34" s="49">
        <v>11988</v>
      </c>
      <c r="P34" s="49">
        <v>66668</v>
      </c>
      <c r="Q34" s="49">
        <v>58141.4</v>
      </c>
      <c r="R34" s="49">
        <v>51482.5</v>
      </c>
      <c r="S34" s="49">
        <v>7678.3</v>
      </c>
      <c r="T34" s="49">
        <v>48615</v>
      </c>
      <c r="U34" s="49">
        <v>55731.1</v>
      </c>
      <c r="V34" s="49">
        <v>39040</v>
      </c>
      <c r="W34" s="49">
        <v>32544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</row>
    <row r="35" spans="1:60" ht="12.75">
      <c r="A35" s="47"/>
      <c r="B35" s="71" t="s">
        <v>82</v>
      </c>
      <c r="C35" s="20">
        <f t="shared" si="6"/>
        <v>78514.57</v>
      </c>
      <c r="D35" s="49">
        <v>15087.5</v>
      </c>
      <c r="E35" s="21"/>
      <c r="F35" s="49"/>
      <c r="G35" s="49"/>
      <c r="H35" s="49"/>
      <c r="I35" s="49">
        <v>83</v>
      </c>
      <c r="J35" s="49"/>
      <c r="K35" s="49"/>
      <c r="L35" s="49"/>
      <c r="M35" s="49"/>
      <c r="N35" s="49"/>
      <c r="O35" s="49"/>
      <c r="P35" s="49">
        <v>36203.44</v>
      </c>
      <c r="Q35" s="49"/>
      <c r="R35" s="49"/>
      <c r="S35" s="49"/>
      <c r="T35" s="49"/>
      <c r="U35" s="49"/>
      <c r="V35" s="49"/>
      <c r="W35" s="49">
        <v>8956</v>
      </c>
      <c r="X35" s="49">
        <v>414.41</v>
      </c>
      <c r="Y35" s="49"/>
      <c r="Z35" s="49">
        <v>13371.4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>
        <v>863</v>
      </c>
      <c r="AY35" s="49">
        <v>3477</v>
      </c>
      <c r="AZ35" s="49"/>
      <c r="BA35" s="49"/>
      <c r="BB35" s="49"/>
      <c r="BC35" s="49">
        <v>58.82</v>
      </c>
      <c r="BD35" s="49"/>
      <c r="BE35" s="49"/>
      <c r="BF35" s="49"/>
      <c r="BG35" s="49"/>
      <c r="BH35" s="49"/>
    </row>
    <row r="36" spans="1:60" ht="12.75">
      <c r="A36" s="47"/>
      <c r="B36" s="68" t="s">
        <v>88</v>
      </c>
      <c r="C36" s="20">
        <f t="shared" si="6"/>
        <v>9626273.009999998</v>
      </c>
      <c r="D36" s="49">
        <v>220.6</v>
      </c>
      <c r="E36" s="21">
        <v>421449.09</v>
      </c>
      <c r="F36" s="49">
        <v>104974</v>
      </c>
      <c r="G36" s="49">
        <v>5166896.35</v>
      </c>
      <c r="H36" s="49">
        <v>775.44</v>
      </c>
      <c r="I36" s="49">
        <v>1294919.04</v>
      </c>
      <c r="J36" s="49">
        <v>819372.19</v>
      </c>
      <c r="K36" s="49"/>
      <c r="L36" s="49"/>
      <c r="M36" s="49">
        <v>999640.35</v>
      </c>
      <c r="N36" s="49">
        <v>427913.68</v>
      </c>
      <c r="O36" s="49"/>
      <c r="P36" s="49">
        <v>4</v>
      </c>
      <c r="Q36" s="49">
        <v>142168</v>
      </c>
      <c r="R36" s="49"/>
      <c r="S36" s="49"/>
      <c r="T36" s="49"/>
      <c r="U36" s="49"/>
      <c r="V36" s="49"/>
      <c r="W36" s="49">
        <v>247937.27</v>
      </c>
      <c r="X36" s="49">
        <v>3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</row>
    <row r="37" spans="1:60" s="55" customFormat="1" ht="12.75">
      <c r="A37" s="52"/>
      <c r="B37" s="72" t="s">
        <v>89</v>
      </c>
      <c r="C37" s="53">
        <f t="shared" si="6"/>
        <v>610</v>
      </c>
      <c r="D37" s="54"/>
      <c r="E37" s="62">
        <v>12</v>
      </c>
      <c r="F37" s="54"/>
      <c r="G37" s="54"/>
      <c r="H37" s="54"/>
      <c r="I37" s="54">
        <v>23</v>
      </c>
      <c r="J37" s="54"/>
      <c r="K37" s="54"/>
      <c r="L37" s="54"/>
      <c r="M37" s="54">
        <v>21</v>
      </c>
      <c r="N37" s="54"/>
      <c r="O37" s="54"/>
      <c r="P37" s="54">
        <v>554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</row>
    <row r="38" spans="1:60" s="55" customFormat="1" ht="12.75">
      <c r="A38" s="52"/>
      <c r="B38" s="72" t="s">
        <v>92</v>
      </c>
      <c r="C38" s="53">
        <f t="shared" si="6"/>
        <v>0</v>
      </c>
      <c r="D38" s="54"/>
      <c r="E38" s="62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</row>
    <row r="39" spans="1:60" ht="12.75">
      <c r="A39" s="47"/>
      <c r="B39" s="70" t="s">
        <v>96</v>
      </c>
      <c r="C39" s="20">
        <f t="shared" si="6"/>
        <v>1045736.8999999999</v>
      </c>
      <c r="D39" s="49"/>
      <c r="E39" s="21"/>
      <c r="F39" s="49">
        <v>39660</v>
      </c>
      <c r="G39" s="49">
        <v>226983</v>
      </c>
      <c r="H39" s="49">
        <v>8</v>
      </c>
      <c r="I39" s="49">
        <v>127772</v>
      </c>
      <c r="J39" s="49">
        <v>26904</v>
      </c>
      <c r="K39" s="49"/>
      <c r="L39" s="49"/>
      <c r="M39" s="49">
        <v>126788</v>
      </c>
      <c r="N39" s="49"/>
      <c r="O39" s="49">
        <v>100000</v>
      </c>
      <c r="P39" s="49">
        <v>100000</v>
      </c>
      <c r="Q39" s="49">
        <v>54807</v>
      </c>
      <c r="R39" s="49">
        <v>77772</v>
      </c>
      <c r="S39" s="49"/>
      <c r="T39" s="49">
        <v>155584</v>
      </c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>
        <v>6201</v>
      </c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>
        <v>191.2</v>
      </c>
      <c r="AZ39" s="49">
        <v>1551.7</v>
      </c>
      <c r="BA39" s="49">
        <v>715</v>
      </c>
      <c r="BB39" s="49"/>
      <c r="BC39" s="49"/>
      <c r="BD39" s="49">
        <v>800</v>
      </c>
      <c r="BE39" s="49"/>
      <c r="BF39" s="49"/>
      <c r="BG39" s="49"/>
      <c r="BH39" s="49"/>
    </row>
    <row r="40" spans="1:60" ht="12.75">
      <c r="A40" s="47"/>
      <c r="B40" s="70" t="s">
        <v>95</v>
      </c>
      <c r="C40" s="20">
        <f t="shared" si="6"/>
        <v>27300.3</v>
      </c>
      <c r="D40" s="49"/>
      <c r="E40" s="21">
        <v>27300.3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</row>
    <row r="41" spans="1:60" ht="12.75">
      <c r="A41" s="47"/>
      <c r="B41" s="19"/>
      <c r="C41" s="20"/>
      <c r="D41" s="49"/>
      <c r="E41" s="21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</row>
    <row r="42" spans="1:60" s="31" customFormat="1" ht="12.75">
      <c r="A42" s="56" t="s">
        <v>70</v>
      </c>
      <c r="B42" s="48" t="s">
        <v>71</v>
      </c>
      <c r="C42" s="20">
        <f>SUM(D42:BH42)</f>
        <v>8960131.210000005</v>
      </c>
      <c r="D42" s="51">
        <f aca="true" t="shared" si="8" ref="D42:AI42">SUM(D43:D45)</f>
        <v>341443.13999999966</v>
      </c>
      <c r="E42" s="20">
        <f t="shared" si="8"/>
        <v>611509.3900000001</v>
      </c>
      <c r="F42" s="51">
        <f t="shared" si="8"/>
        <v>118385.2</v>
      </c>
      <c r="G42" s="51">
        <f t="shared" si="8"/>
        <v>180668.5</v>
      </c>
      <c r="H42" s="51">
        <f t="shared" si="8"/>
        <v>190806</v>
      </c>
      <c r="I42" s="51">
        <f t="shared" si="8"/>
        <v>3212765.11</v>
      </c>
      <c r="J42" s="51">
        <f t="shared" si="8"/>
        <v>486871.78</v>
      </c>
      <c r="K42" s="51">
        <f t="shared" si="8"/>
        <v>347559.23</v>
      </c>
      <c r="L42" s="51">
        <f t="shared" si="8"/>
        <v>161262.69999999995</v>
      </c>
      <c r="M42" s="51">
        <f t="shared" si="8"/>
        <v>355932.89</v>
      </c>
      <c r="N42" s="51">
        <f t="shared" si="8"/>
        <v>164635.9</v>
      </c>
      <c r="O42" s="51">
        <f t="shared" si="8"/>
        <v>315048.03</v>
      </c>
      <c r="P42" s="51">
        <f t="shared" si="8"/>
        <v>220295.79999999964</v>
      </c>
      <c r="Q42" s="51">
        <f t="shared" si="8"/>
        <v>100400.48000000045</v>
      </c>
      <c r="R42" s="51">
        <f t="shared" si="8"/>
        <v>69825.03</v>
      </c>
      <c r="S42" s="51">
        <f t="shared" si="8"/>
        <v>5014.45</v>
      </c>
      <c r="T42" s="51">
        <f t="shared" si="8"/>
        <v>470843.5</v>
      </c>
      <c r="U42" s="51">
        <f t="shared" si="8"/>
        <v>107963.25</v>
      </c>
      <c r="V42" s="51">
        <f t="shared" si="8"/>
        <v>92954.45000000298</v>
      </c>
      <c r="W42" s="51">
        <f t="shared" si="8"/>
        <v>147356.25</v>
      </c>
      <c r="X42" s="51">
        <f t="shared" si="8"/>
        <v>179234.69999999998</v>
      </c>
      <c r="Y42" s="51">
        <f t="shared" si="8"/>
        <v>26836</v>
      </c>
      <c r="Z42" s="51">
        <f t="shared" si="8"/>
        <v>27441</v>
      </c>
      <c r="AA42" s="51">
        <f t="shared" si="8"/>
        <v>25028</v>
      </c>
      <c r="AB42" s="51">
        <f t="shared" si="8"/>
        <v>1832.5</v>
      </c>
      <c r="AC42" s="51">
        <f t="shared" si="8"/>
        <v>19382</v>
      </c>
      <c r="AD42" s="51">
        <f t="shared" si="8"/>
        <v>37809.5</v>
      </c>
      <c r="AE42" s="51">
        <f t="shared" si="8"/>
        <v>43312.75</v>
      </c>
      <c r="AF42" s="51">
        <f t="shared" si="8"/>
        <v>0</v>
      </c>
      <c r="AG42" s="51">
        <f t="shared" si="8"/>
        <v>0</v>
      </c>
      <c r="AH42" s="51">
        <f t="shared" si="8"/>
        <v>30646.75</v>
      </c>
      <c r="AI42" s="51">
        <f t="shared" si="8"/>
        <v>7986.95</v>
      </c>
      <c r="AJ42" s="51">
        <f aca="true" t="shared" si="9" ref="AJ42:BH42">SUM(AJ43:AJ45)</f>
        <v>1500</v>
      </c>
      <c r="AK42" s="51">
        <f t="shared" si="9"/>
        <v>32426</v>
      </c>
      <c r="AL42" s="51">
        <f t="shared" si="9"/>
        <v>0</v>
      </c>
      <c r="AM42" s="51">
        <f t="shared" si="9"/>
        <v>15063.5</v>
      </c>
      <c r="AN42" s="51">
        <f t="shared" si="9"/>
        <v>49080</v>
      </c>
      <c r="AO42" s="51">
        <f t="shared" si="9"/>
        <v>16704.5</v>
      </c>
      <c r="AP42" s="51">
        <f t="shared" si="9"/>
        <v>16034.75</v>
      </c>
      <c r="AQ42" s="51">
        <f t="shared" si="9"/>
        <v>0</v>
      </c>
      <c r="AR42" s="51">
        <f t="shared" si="9"/>
        <v>31374.75</v>
      </c>
      <c r="AS42" s="51">
        <f t="shared" si="9"/>
        <v>20885.19</v>
      </c>
      <c r="AT42" s="51">
        <f t="shared" si="9"/>
        <v>1267.5</v>
      </c>
      <c r="AU42" s="51">
        <f t="shared" si="9"/>
        <v>3878.5</v>
      </c>
      <c r="AV42" s="51">
        <f t="shared" si="9"/>
        <v>831.75</v>
      </c>
      <c r="AW42" s="51">
        <f t="shared" si="9"/>
        <v>22368.55999999959</v>
      </c>
      <c r="AX42" s="51">
        <f t="shared" si="9"/>
        <v>64689.34</v>
      </c>
      <c r="AY42" s="51">
        <f t="shared" si="9"/>
        <v>51250</v>
      </c>
      <c r="AZ42" s="51">
        <f t="shared" si="9"/>
        <v>21584</v>
      </c>
      <c r="BA42" s="51">
        <f t="shared" si="9"/>
        <v>125</v>
      </c>
      <c r="BB42" s="51">
        <f t="shared" si="9"/>
        <v>202498</v>
      </c>
      <c r="BC42" s="51">
        <f t="shared" si="9"/>
        <v>21117.5</v>
      </c>
      <c r="BD42" s="51">
        <f t="shared" si="9"/>
        <v>1185.25</v>
      </c>
      <c r="BE42" s="51">
        <f t="shared" si="9"/>
        <v>46358.64</v>
      </c>
      <c r="BF42" s="51">
        <f t="shared" si="9"/>
        <v>40816.25</v>
      </c>
      <c r="BG42" s="51">
        <f t="shared" si="9"/>
        <v>188041</v>
      </c>
      <c r="BH42" s="51">
        <f t="shared" si="9"/>
        <v>10000</v>
      </c>
    </row>
    <row r="43" spans="1:60" ht="12.75">
      <c r="A43" s="47"/>
      <c r="B43" s="19" t="s">
        <v>90</v>
      </c>
      <c r="C43" s="20">
        <f>SUM(D43:BH43)</f>
        <v>2981575.2699999996</v>
      </c>
      <c r="D43" s="49"/>
      <c r="E43" s="21">
        <v>22.5</v>
      </c>
      <c r="F43" s="49"/>
      <c r="G43" s="49">
        <f>51143.5-51143.5</f>
        <v>0</v>
      </c>
      <c r="H43" s="49"/>
      <c r="I43" s="49">
        <f>6250979.42-3412224.42</f>
        <v>2838755</v>
      </c>
      <c r="J43" s="49"/>
      <c r="K43" s="49">
        <v>1223</v>
      </c>
      <c r="L43" s="49"/>
      <c r="M43" s="49"/>
      <c r="N43" s="49"/>
      <c r="O43" s="49"/>
      <c r="P43" s="49"/>
      <c r="Q43" s="49">
        <f>700239.3-700195.8</f>
        <v>43.5</v>
      </c>
      <c r="R43" s="49">
        <v>55764</v>
      </c>
      <c r="S43" s="49"/>
      <c r="T43" s="49"/>
      <c r="U43" s="49"/>
      <c r="V43" s="49">
        <v>65830</v>
      </c>
      <c r="W43" s="49">
        <v>35</v>
      </c>
      <c r="X43" s="49">
        <v>15399.21</v>
      </c>
      <c r="Y43" s="49"/>
      <c r="Z43" s="49"/>
      <c r="AA43" s="49"/>
      <c r="AB43" s="49"/>
      <c r="AC43" s="49">
        <f>328595-328595</f>
        <v>0</v>
      </c>
      <c r="AD43" s="49"/>
      <c r="AE43" s="49"/>
      <c r="AF43" s="49"/>
      <c r="AG43" s="49"/>
      <c r="AH43" s="49"/>
      <c r="AI43" s="49">
        <f>1152933.3-1152933.3</f>
        <v>0</v>
      </c>
      <c r="AJ43" s="49"/>
      <c r="AK43" s="49"/>
      <c r="AL43" s="49"/>
      <c r="AM43" s="49"/>
      <c r="AN43" s="49"/>
      <c r="AO43" s="49"/>
      <c r="AP43" s="49"/>
      <c r="AQ43" s="49"/>
      <c r="AR43" s="49"/>
      <c r="AS43" s="49">
        <v>17.5</v>
      </c>
      <c r="AT43" s="49"/>
      <c r="AU43" s="49"/>
      <c r="AV43" s="49"/>
      <c r="AW43" s="49">
        <f>4727127.26-4724799.7</f>
        <v>2327.55999999959</v>
      </c>
      <c r="AX43" s="49"/>
      <c r="AY43" s="49">
        <v>2020</v>
      </c>
      <c r="AZ43" s="49"/>
      <c r="BA43" s="49"/>
      <c r="BB43" s="49">
        <f>535030.3-535030.3</f>
        <v>0</v>
      </c>
      <c r="BC43" s="49">
        <f>166896-166896</f>
        <v>0</v>
      </c>
      <c r="BD43" s="49">
        <f>305388-305250</f>
        <v>138</v>
      </c>
      <c r="BE43" s="49"/>
      <c r="BF43" s="49"/>
      <c r="BG43" s="49"/>
      <c r="BH43" s="49"/>
    </row>
    <row r="44" spans="1:60" ht="12.75">
      <c r="A44" s="47"/>
      <c r="B44" s="69" t="s">
        <v>91</v>
      </c>
      <c r="C44" s="20">
        <f>SUM(D44:BH44)</f>
        <v>4804575.890000003</v>
      </c>
      <c r="D44" s="49">
        <f>7341443.14-7000000</f>
        <v>341443.13999999966</v>
      </c>
      <c r="E44" s="21">
        <f>8529077.58-7983504</f>
        <v>545573.5800000001</v>
      </c>
      <c r="F44" s="49">
        <v>114464.2</v>
      </c>
      <c r="G44" s="49">
        <f>1529321-1390000</f>
        <v>139321</v>
      </c>
      <c r="H44" s="49">
        <v>170821</v>
      </c>
      <c r="I44" s="49">
        <v>317086</v>
      </c>
      <c r="J44" s="49">
        <v>121860</v>
      </c>
      <c r="K44" s="49">
        <v>212112.1</v>
      </c>
      <c r="L44" s="49">
        <f>1172792.26-1046256.05</f>
        <v>126536.20999999996</v>
      </c>
      <c r="M44" s="49">
        <v>333345.39</v>
      </c>
      <c r="N44" s="49">
        <v>117293.4</v>
      </c>
      <c r="O44" s="49">
        <v>282069.03</v>
      </c>
      <c r="P44" s="49">
        <f>12692170.6-12668693</f>
        <v>23477.599999999627</v>
      </c>
      <c r="Q44" s="49">
        <f>7145056.23-7063611</f>
        <v>81445.23000000045</v>
      </c>
      <c r="R44" s="49">
        <f>15668015.17-15656685.17</f>
        <v>11330</v>
      </c>
      <c r="S44" s="49">
        <v>28.2</v>
      </c>
      <c r="T44" s="49">
        <f>5466301-5000000</f>
        <v>466301</v>
      </c>
      <c r="U44" s="49">
        <v>105686</v>
      </c>
      <c r="V44" s="49">
        <f>18505702.67-18482495.97</f>
        <v>23206.70000000298</v>
      </c>
      <c r="W44" s="49">
        <f>911507.2-780683.2</f>
        <v>130824</v>
      </c>
      <c r="X44" s="49">
        <v>162908.24</v>
      </c>
      <c r="Y44" s="49">
        <v>22590</v>
      </c>
      <c r="Z44" s="49">
        <v>26150</v>
      </c>
      <c r="AA44" s="49">
        <v>25028</v>
      </c>
      <c r="AB44" s="49"/>
      <c r="AC44" s="49">
        <f>1996676.31-1977294.31</f>
        <v>19382</v>
      </c>
      <c r="AD44" s="49">
        <f>137809.5-100000</f>
        <v>37809.5</v>
      </c>
      <c r="AE44" s="49">
        <f>174000-150000</f>
        <v>24000</v>
      </c>
      <c r="AF44" s="49"/>
      <c r="AG44" s="49"/>
      <c r="AH44" s="49">
        <v>30028</v>
      </c>
      <c r="AI44" s="49">
        <v>4826.7</v>
      </c>
      <c r="AJ44" s="49">
        <v>1500</v>
      </c>
      <c r="AK44" s="49">
        <v>32426</v>
      </c>
      <c r="AL44" s="49"/>
      <c r="AM44" s="49">
        <v>15000</v>
      </c>
      <c r="AN44" s="49">
        <v>11531</v>
      </c>
      <c r="AO44" s="49">
        <f>7200945-7200000</f>
        <v>945</v>
      </c>
      <c r="AP44" s="49">
        <f>591804-576763</f>
        <v>15041</v>
      </c>
      <c r="AQ44" s="49">
        <f>321938-321938</f>
        <v>0</v>
      </c>
      <c r="AR44" s="49">
        <v>24781</v>
      </c>
      <c r="AS44" s="49">
        <v>20792.69</v>
      </c>
      <c r="AT44" s="49">
        <f>351008-351008</f>
        <v>0</v>
      </c>
      <c r="AU44" s="49">
        <v>3421</v>
      </c>
      <c r="AV44" s="49">
        <f>400000-400000</f>
        <v>0</v>
      </c>
      <c r="AW44" s="49">
        <v>20041</v>
      </c>
      <c r="AX44" s="49">
        <f>187476.34-122787</f>
        <v>64689.34</v>
      </c>
      <c r="AY44" s="49">
        <v>49230</v>
      </c>
      <c r="AZ44" s="49">
        <v>20084</v>
      </c>
      <c r="BA44" s="49"/>
      <c r="BB44" s="49">
        <v>202498</v>
      </c>
      <c r="BC44" s="49">
        <f>5020000-5000000</f>
        <v>20000</v>
      </c>
      <c r="BD44" s="49">
        <v>440</v>
      </c>
      <c r="BE44" s="49">
        <v>46358.64</v>
      </c>
      <c r="BF44" s="49">
        <v>40810</v>
      </c>
      <c r="BG44" s="49">
        <v>188041</v>
      </c>
      <c r="BH44" s="49">
        <f>883445.8-873445.8</f>
        <v>10000</v>
      </c>
    </row>
    <row r="45" spans="1:60" ht="12.75">
      <c r="A45" s="47"/>
      <c r="B45" s="70" t="s">
        <v>86</v>
      </c>
      <c r="C45" s="20">
        <f>SUM(D45:BH45)</f>
        <v>1173980.05</v>
      </c>
      <c r="D45" s="49"/>
      <c r="E45" s="21">
        <v>65913.31</v>
      </c>
      <c r="F45" s="49">
        <v>3921</v>
      </c>
      <c r="G45" s="49">
        <v>41347.5</v>
      </c>
      <c r="H45" s="49">
        <v>19985</v>
      </c>
      <c r="I45" s="49">
        <v>56924.11</v>
      </c>
      <c r="J45" s="49">
        <v>365011.78</v>
      </c>
      <c r="K45" s="49">
        <v>134224.13</v>
      </c>
      <c r="L45" s="49">
        <v>34726.49</v>
      </c>
      <c r="M45" s="49">
        <v>22587.5</v>
      </c>
      <c r="N45" s="49">
        <v>47342.5</v>
      </c>
      <c r="O45" s="49">
        <v>32979</v>
      </c>
      <c r="P45" s="49">
        <v>196818.2</v>
      </c>
      <c r="Q45" s="49">
        <v>18911.75</v>
      </c>
      <c r="R45" s="49">
        <v>2731.03</v>
      </c>
      <c r="S45" s="49">
        <v>4986.25</v>
      </c>
      <c r="T45" s="49">
        <v>4542.5</v>
      </c>
      <c r="U45" s="49">
        <v>2277.25</v>
      </c>
      <c r="V45" s="49">
        <v>3917.75</v>
      </c>
      <c r="W45" s="49">
        <v>16497.25</v>
      </c>
      <c r="X45" s="49">
        <v>927.25</v>
      </c>
      <c r="Y45" s="49">
        <v>4246</v>
      </c>
      <c r="Z45" s="49">
        <v>1291</v>
      </c>
      <c r="AA45" s="49"/>
      <c r="AB45" s="49">
        <v>1832.5</v>
      </c>
      <c r="AC45" s="49"/>
      <c r="AD45" s="49"/>
      <c r="AE45" s="49">
        <v>19312.75</v>
      </c>
      <c r="AF45" s="49"/>
      <c r="AG45" s="49"/>
      <c r="AH45" s="49">
        <v>618.75</v>
      </c>
      <c r="AI45" s="49">
        <v>3160.25</v>
      </c>
      <c r="AJ45" s="49"/>
      <c r="AK45" s="49"/>
      <c r="AL45" s="49"/>
      <c r="AM45" s="49">
        <v>63.5</v>
      </c>
      <c r="AN45" s="49">
        <v>37549</v>
      </c>
      <c r="AO45" s="49">
        <v>15759.5</v>
      </c>
      <c r="AP45" s="49">
        <v>993.75</v>
      </c>
      <c r="AQ45" s="49"/>
      <c r="AR45" s="49">
        <v>6593.75</v>
      </c>
      <c r="AS45" s="49">
        <v>75</v>
      </c>
      <c r="AT45" s="49">
        <v>1267.5</v>
      </c>
      <c r="AU45" s="49">
        <v>457.5</v>
      </c>
      <c r="AV45" s="49">
        <v>831.75</v>
      </c>
      <c r="AW45" s="49"/>
      <c r="AX45" s="49"/>
      <c r="AY45" s="49"/>
      <c r="AZ45" s="49">
        <v>1500</v>
      </c>
      <c r="BA45" s="49">
        <v>125</v>
      </c>
      <c r="BB45" s="49"/>
      <c r="BC45" s="49">
        <v>1117.5</v>
      </c>
      <c r="BD45" s="49">
        <v>607.25</v>
      </c>
      <c r="BE45" s="49"/>
      <c r="BF45" s="49">
        <v>6.25</v>
      </c>
      <c r="BG45" s="49"/>
      <c r="BH45" s="49"/>
    </row>
    <row r="46" spans="1:60" ht="13.5" thickBot="1">
      <c r="A46" s="19"/>
      <c r="B46" s="19"/>
      <c r="C46" s="20"/>
      <c r="D46" s="49"/>
      <c r="E46" s="21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</row>
    <row r="47" spans="1:60" s="42" customFormat="1" ht="14.25" thickBot="1" thickTop="1">
      <c r="A47" s="57" t="s">
        <v>72</v>
      </c>
      <c r="B47" s="57" t="s">
        <v>73</v>
      </c>
      <c r="C47" s="58">
        <f>SUM(D47:BH47)</f>
        <v>76141898.49000002</v>
      </c>
      <c r="D47" s="58">
        <f aca="true" t="shared" si="10" ref="D47:AI47">SUM(D31,D42)</f>
        <v>1761913.4399999997</v>
      </c>
      <c r="E47" s="58">
        <f t="shared" si="10"/>
        <v>3718455.28</v>
      </c>
      <c r="F47" s="58">
        <f t="shared" si="10"/>
        <v>1951592.9</v>
      </c>
      <c r="G47" s="58">
        <f t="shared" si="10"/>
        <v>8541263.35</v>
      </c>
      <c r="H47" s="58">
        <f t="shared" si="10"/>
        <v>5241410.44</v>
      </c>
      <c r="I47" s="58">
        <f t="shared" si="10"/>
        <v>9925047.15</v>
      </c>
      <c r="J47" s="58">
        <f t="shared" si="10"/>
        <v>3026395.2700000005</v>
      </c>
      <c r="K47" s="58">
        <f t="shared" si="10"/>
        <v>4292347.23</v>
      </c>
      <c r="L47" s="58">
        <f t="shared" si="10"/>
        <v>5498535.7</v>
      </c>
      <c r="M47" s="58">
        <f t="shared" si="10"/>
        <v>5466807.239999999</v>
      </c>
      <c r="N47" s="58">
        <f t="shared" si="10"/>
        <v>5028896.58</v>
      </c>
      <c r="O47" s="58">
        <f t="shared" si="10"/>
        <v>3116077.0300000003</v>
      </c>
      <c r="P47" s="58">
        <f t="shared" si="10"/>
        <v>1239892.2399999995</v>
      </c>
      <c r="Q47" s="58">
        <f t="shared" si="10"/>
        <v>355516.88000000047</v>
      </c>
      <c r="R47" s="58">
        <f t="shared" si="10"/>
        <v>2942745.53</v>
      </c>
      <c r="S47" s="58">
        <f t="shared" si="10"/>
        <v>1893821.75</v>
      </c>
      <c r="T47" s="58">
        <f t="shared" si="10"/>
        <v>2494833.5</v>
      </c>
      <c r="U47" s="58">
        <f t="shared" si="10"/>
        <v>1461694.35</v>
      </c>
      <c r="V47" s="58">
        <f t="shared" si="10"/>
        <v>1149469.450000003</v>
      </c>
      <c r="W47" s="58">
        <f t="shared" si="10"/>
        <v>4686124.52</v>
      </c>
      <c r="X47" s="58">
        <f t="shared" si="10"/>
        <v>646705.11</v>
      </c>
      <c r="Y47" s="58">
        <f t="shared" si="10"/>
        <v>622605</v>
      </c>
      <c r="Z47" s="58">
        <f t="shared" si="10"/>
        <v>40812.4</v>
      </c>
      <c r="AA47" s="58">
        <f t="shared" si="10"/>
        <v>25028</v>
      </c>
      <c r="AB47" s="58">
        <f t="shared" si="10"/>
        <v>1832.5</v>
      </c>
      <c r="AC47" s="58">
        <f t="shared" si="10"/>
        <v>19382</v>
      </c>
      <c r="AD47" s="58">
        <f t="shared" si="10"/>
        <v>37809.5</v>
      </c>
      <c r="AE47" s="58">
        <f t="shared" si="10"/>
        <v>43312.75</v>
      </c>
      <c r="AF47" s="58">
        <f t="shared" si="10"/>
        <v>0</v>
      </c>
      <c r="AG47" s="58">
        <f t="shared" si="10"/>
        <v>0</v>
      </c>
      <c r="AH47" s="58">
        <f t="shared" si="10"/>
        <v>36847.75</v>
      </c>
      <c r="AI47" s="58">
        <f t="shared" si="10"/>
        <v>7986.95</v>
      </c>
      <c r="AJ47" s="58">
        <f aca="true" t="shared" si="11" ref="AJ47:BH47">SUM(AJ31,AJ42)</f>
        <v>1500</v>
      </c>
      <c r="AK47" s="58">
        <f t="shared" si="11"/>
        <v>32426</v>
      </c>
      <c r="AL47" s="58">
        <f t="shared" si="11"/>
        <v>0</v>
      </c>
      <c r="AM47" s="58">
        <f t="shared" si="11"/>
        <v>15063.5</v>
      </c>
      <c r="AN47" s="58">
        <f t="shared" si="11"/>
        <v>49080</v>
      </c>
      <c r="AO47" s="58">
        <f t="shared" si="11"/>
        <v>16704.5</v>
      </c>
      <c r="AP47" s="58">
        <f t="shared" si="11"/>
        <v>16034.75</v>
      </c>
      <c r="AQ47" s="58">
        <f t="shared" si="11"/>
        <v>0</v>
      </c>
      <c r="AR47" s="58">
        <f t="shared" si="11"/>
        <v>31374.75</v>
      </c>
      <c r="AS47" s="58">
        <f t="shared" si="11"/>
        <v>20885.19</v>
      </c>
      <c r="AT47" s="58">
        <f t="shared" si="11"/>
        <v>1267.5</v>
      </c>
      <c r="AU47" s="58">
        <f t="shared" si="11"/>
        <v>3878.5</v>
      </c>
      <c r="AV47" s="58">
        <f t="shared" si="11"/>
        <v>831.75</v>
      </c>
      <c r="AW47" s="58">
        <f t="shared" si="11"/>
        <v>22368.55999999959</v>
      </c>
      <c r="AX47" s="58">
        <f t="shared" si="11"/>
        <v>65552.34</v>
      </c>
      <c r="AY47" s="58">
        <f t="shared" si="11"/>
        <v>54918.2</v>
      </c>
      <c r="AZ47" s="58">
        <f t="shared" si="11"/>
        <v>23135.7</v>
      </c>
      <c r="BA47" s="58">
        <f t="shared" si="11"/>
        <v>840</v>
      </c>
      <c r="BB47" s="58">
        <f t="shared" si="11"/>
        <v>202498</v>
      </c>
      <c r="BC47" s="58">
        <f t="shared" si="11"/>
        <v>21176.32</v>
      </c>
      <c r="BD47" s="58">
        <f t="shared" si="11"/>
        <v>1985.25</v>
      </c>
      <c r="BE47" s="58">
        <f t="shared" si="11"/>
        <v>46358.64</v>
      </c>
      <c r="BF47" s="58">
        <f t="shared" si="11"/>
        <v>40816.25</v>
      </c>
      <c r="BG47" s="58">
        <f t="shared" si="11"/>
        <v>188041</v>
      </c>
      <c r="BH47" s="58">
        <f t="shared" si="11"/>
        <v>10000</v>
      </c>
    </row>
    <row r="48" spans="1:60" s="46" customFormat="1" ht="14.25" thickBot="1" thickTop="1">
      <c r="A48" s="59" t="s">
        <v>74</v>
      </c>
      <c r="B48" s="59" t="s">
        <v>75</v>
      </c>
      <c r="C48" s="60">
        <f>SUM(D48:BH48)</f>
        <v>-71980746.35000002</v>
      </c>
      <c r="D48" s="60">
        <f aca="true" t="shared" si="12" ref="D48:AI48">D27-D47</f>
        <v>-1641483.4399999997</v>
      </c>
      <c r="E48" s="60">
        <f t="shared" si="12"/>
        <v>-3548850.3699999996</v>
      </c>
      <c r="F48" s="60">
        <f t="shared" si="12"/>
        <v>-1829952.9</v>
      </c>
      <c r="G48" s="60">
        <f t="shared" si="12"/>
        <v>-8527813.35</v>
      </c>
      <c r="H48" s="60">
        <f t="shared" si="12"/>
        <v>-3647317.9300000006</v>
      </c>
      <c r="I48" s="60">
        <f t="shared" si="12"/>
        <v>-9925047.15</v>
      </c>
      <c r="J48" s="60">
        <f t="shared" si="12"/>
        <v>-2652689.6000000006</v>
      </c>
      <c r="K48" s="60">
        <f t="shared" si="12"/>
        <v>-4207975.23</v>
      </c>
      <c r="L48" s="60">
        <f t="shared" si="12"/>
        <v>-4773366.03</v>
      </c>
      <c r="M48" s="60">
        <f t="shared" si="12"/>
        <v>-5466807.239999999</v>
      </c>
      <c r="N48" s="60">
        <f t="shared" si="12"/>
        <v>-5028896.58</v>
      </c>
      <c r="O48" s="60">
        <f t="shared" si="12"/>
        <v>-3105773.81</v>
      </c>
      <c r="P48" s="60">
        <f t="shared" si="12"/>
        <v>-1239892.2399999995</v>
      </c>
      <c r="Q48" s="60">
        <f t="shared" si="12"/>
        <v>224271.11999999953</v>
      </c>
      <c r="R48" s="60">
        <f t="shared" si="12"/>
        <v>-2942745.53</v>
      </c>
      <c r="S48" s="60">
        <f t="shared" si="12"/>
        <v>-1825351.75</v>
      </c>
      <c r="T48" s="60">
        <f t="shared" si="12"/>
        <v>-2494833.5</v>
      </c>
      <c r="U48" s="60">
        <f t="shared" si="12"/>
        <v>-1288267.4000000001</v>
      </c>
      <c r="V48" s="60">
        <f t="shared" si="12"/>
        <v>-1113293.680000003</v>
      </c>
      <c r="W48" s="60">
        <f t="shared" si="12"/>
        <v>-4686124.52</v>
      </c>
      <c r="X48" s="60">
        <f t="shared" si="12"/>
        <v>-646705.11</v>
      </c>
      <c r="Y48" s="60">
        <f t="shared" si="12"/>
        <v>-619634.9</v>
      </c>
      <c r="Z48" s="60">
        <f t="shared" si="12"/>
        <v>-40812.4</v>
      </c>
      <c r="AA48" s="60">
        <f t="shared" si="12"/>
        <v>-25028</v>
      </c>
      <c r="AB48" s="60">
        <f t="shared" si="12"/>
        <v>-1832.5</v>
      </c>
      <c r="AC48" s="60">
        <f t="shared" si="12"/>
        <v>-19132</v>
      </c>
      <c r="AD48" s="60">
        <f t="shared" si="12"/>
        <v>-37809.5</v>
      </c>
      <c r="AE48" s="60">
        <f t="shared" si="12"/>
        <v>-43312.75</v>
      </c>
      <c r="AF48" s="60">
        <f t="shared" si="12"/>
        <v>0</v>
      </c>
      <c r="AG48" s="60">
        <f t="shared" si="12"/>
        <v>2942.59</v>
      </c>
      <c r="AH48" s="60">
        <f t="shared" si="12"/>
        <v>-36847.75</v>
      </c>
      <c r="AI48" s="60">
        <f t="shared" si="12"/>
        <v>-7986.95</v>
      </c>
      <c r="AJ48" s="60">
        <f aca="true" t="shared" si="13" ref="AJ48:BH48">AJ27-AJ47</f>
        <v>718</v>
      </c>
      <c r="AK48" s="60">
        <f t="shared" si="13"/>
        <v>-32376.75</v>
      </c>
      <c r="AL48" s="60">
        <f t="shared" si="13"/>
        <v>0</v>
      </c>
      <c r="AM48" s="60">
        <f t="shared" si="13"/>
        <v>-15063.5</v>
      </c>
      <c r="AN48" s="60">
        <f t="shared" si="13"/>
        <v>-49080</v>
      </c>
      <c r="AO48" s="60">
        <f t="shared" si="13"/>
        <v>-16704.5</v>
      </c>
      <c r="AP48" s="60">
        <f t="shared" si="13"/>
        <v>-16034.75</v>
      </c>
      <c r="AQ48" s="60">
        <f t="shared" si="13"/>
        <v>0</v>
      </c>
      <c r="AR48" s="60">
        <f t="shared" si="13"/>
        <v>-31374.75</v>
      </c>
      <c r="AS48" s="60">
        <f t="shared" si="13"/>
        <v>-20885.19</v>
      </c>
      <c r="AT48" s="60">
        <f t="shared" si="13"/>
        <v>-1267.5</v>
      </c>
      <c r="AU48" s="60">
        <f t="shared" si="13"/>
        <v>-3878.5</v>
      </c>
      <c r="AV48" s="60">
        <f t="shared" si="13"/>
        <v>-831.75</v>
      </c>
      <c r="AW48" s="60">
        <f t="shared" si="13"/>
        <v>9545.250000000411</v>
      </c>
      <c r="AX48" s="60">
        <f t="shared" si="13"/>
        <v>-65502.34</v>
      </c>
      <c r="AY48" s="60">
        <f t="shared" si="13"/>
        <v>-54918.2</v>
      </c>
      <c r="AZ48" s="60">
        <f t="shared" si="13"/>
        <v>-19735.7</v>
      </c>
      <c r="BA48" s="60">
        <f t="shared" si="13"/>
        <v>-840</v>
      </c>
      <c r="BB48" s="60">
        <f t="shared" si="13"/>
        <v>-202498</v>
      </c>
      <c r="BC48" s="60">
        <f t="shared" si="13"/>
        <v>-21176.32</v>
      </c>
      <c r="BD48" s="60">
        <f t="shared" si="13"/>
        <v>-1985.25</v>
      </c>
      <c r="BE48" s="60">
        <f t="shared" si="13"/>
        <v>-36507.58</v>
      </c>
      <c r="BF48" s="60">
        <f t="shared" si="13"/>
        <v>-38307.87</v>
      </c>
      <c r="BG48" s="60">
        <f t="shared" si="13"/>
        <v>-188039.75</v>
      </c>
      <c r="BH48" s="60">
        <f t="shared" si="13"/>
        <v>24369</v>
      </c>
    </row>
    <row r="49" ht="13.5" thickTop="1">
      <c r="AW49" s="3"/>
    </row>
    <row r="50" ht="12.75">
      <c r="AW50" s="3"/>
    </row>
  </sheetData>
  <printOptions horizontalCentered="1"/>
  <pageMargins left="0.1968503937007874" right="0" top="0.5905511811023623" bottom="0.3937007874015748" header="0.5118110236220472" footer="0.5118110236220472"/>
  <pageSetup horizontalDpi="300" verticalDpi="300" orientation="portrait" paperSize="9" scale="95" r:id="rId1"/>
  <headerFooter alignWithMargins="0">
    <oddHeader>&amp;C&amp;"Arial CE,Kurzíva"&amp;UPříloha č. 6  k usnesení Rady HMP č.       ze dne       2009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2009-03-30T13:03:26Z</cp:lastPrinted>
  <dcterms:created xsi:type="dcterms:W3CDTF">2006-01-13T12:10:48Z</dcterms:created>
  <dcterms:modified xsi:type="dcterms:W3CDTF">2009-05-29T06:48:45Z</dcterms:modified>
  <cp:category/>
  <cp:version/>
  <cp:contentType/>
  <cp:contentStatus/>
</cp:coreProperties>
</file>