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855" windowWidth="9585" windowHeight="5175" activeTab="0"/>
  </bookViews>
  <sheets>
    <sheet name="4.Q-Tab. celk." sheetId="1" r:id="rId1"/>
  </sheets>
  <definedNames/>
  <calcPr fullCalcOnLoad="1"/>
</workbook>
</file>

<file path=xl/sharedStrings.xml><?xml version="1.0" encoding="utf-8"?>
<sst xmlns="http://schemas.openxmlformats.org/spreadsheetml/2006/main" count="264" uniqueCount="82">
  <si>
    <t>v tis. Kč</t>
  </si>
  <si>
    <t>Firma</t>
  </si>
  <si>
    <t>Výnosy</t>
  </si>
  <si>
    <t>Náklady</t>
  </si>
  <si>
    <t>Z toho:</t>
  </si>
  <si>
    <t>Hospodářský výsledek</t>
  </si>
  <si>
    <t>úplata správci</t>
  </si>
  <si>
    <t>služby a ostat. nákl.</t>
  </si>
  <si>
    <t>opravy a údržba</t>
  </si>
  <si>
    <t>Rozpočet</t>
  </si>
  <si>
    <t>Plnění za</t>
  </si>
  <si>
    <t>%</t>
  </si>
  <si>
    <t xml:space="preserve">%  </t>
  </si>
  <si>
    <t>plnění</t>
  </si>
  <si>
    <t>Acton</t>
  </si>
  <si>
    <t>-</t>
  </si>
  <si>
    <t>VAS</t>
  </si>
  <si>
    <t>Centra</t>
  </si>
  <si>
    <t>První společná</t>
  </si>
  <si>
    <t>Správa bytových</t>
  </si>
  <si>
    <t>objektů celkem</t>
  </si>
  <si>
    <t>Solid</t>
  </si>
  <si>
    <t>Luma</t>
  </si>
  <si>
    <t>Acton (Štěrboholy)</t>
  </si>
  <si>
    <t>TSK</t>
  </si>
  <si>
    <t>Správa nebyt. obj.</t>
  </si>
  <si>
    <t>a staveb celkem</t>
  </si>
  <si>
    <t>Kolektory Praha</t>
  </si>
  <si>
    <t>Technická zařízení</t>
  </si>
  <si>
    <t>Movitý majetek</t>
  </si>
  <si>
    <t>Oblast hodnocení</t>
  </si>
  <si>
    <t xml:space="preserve">% </t>
  </si>
  <si>
    <t>Pronájmy objektů</t>
  </si>
  <si>
    <t>v OOA</t>
  </si>
  <si>
    <t>Pronájmy pozemků</t>
  </si>
  <si>
    <t>Prodej nemovitostí</t>
  </si>
  <si>
    <t>v OOA (obj.+poz.)</t>
  </si>
  <si>
    <t>Ostatní hospodářská</t>
  </si>
  <si>
    <t>činnost</t>
  </si>
  <si>
    <t>Prodej bytových</t>
  </si>
  <si>
    <t>domů</t>
  </si>
  <si>
    <t>Hospodář. činnost</t>
  </si>
  <si>
    <t>OHS</t>
  </si>
  <si>
    <t>OMI</t>
  </si>
  <si>
    <t>OMZ</t>
  </si>
  <si>
    <t>archivu HMP</t>
  </si>
  <si>
    <t>Odpisy HIM u komerč.</t>
  </si>
  <si>
    <t>využív. objektů</t>
  </si>
  <si>
    <t>Odpisy nedobytných</t>
  </si>
  <si>
    <t>pohledávek</t>
  </si>
  <si>
    <t>Uplatnění zůst. cen</t>
  </si>
  <si>
    <t>při prodejích HIM</t>
  </si>
  <si>
    <t>Rezerva</t>
  </si>
  <si>
    <t>PVS</t>
  </si>
  <si>
    <t>Abramsonová J.</t>
  </si>
  <si>
    <t>Agentura B+BA</t>
  </si>
  <si>
    <t xml:space="preserve">Hosp. činnost jinde </t>
  </si>
  <si>
    <t>Trade Centre</t>
  </si>
  <si>
    <t>CELKEM hospodář-</t>
  </si>
  <si>
    <t>ská činnost MHMP</t>
  </si>
  <si>
    <t>celkem</t>
  </si>
  <si>
    <t>Odbor OOA</t>
  </si>
  <si>
    <t>Správa portfolia</t>
  </si>
  <si>
    <t>cenných papírů</t>
  </si>
  <si>
    <t>Příjmy</t>
  </si>
  <si>
    <t>Výdaje</t>
  </si>
  <si>
    <t>Liga servis (bytové obj.)</t>
  </si>
  <si>
    <t>Liga servis (nebyt.obj.)</t>
  </si>
  <si>
    <t>Liga servis (Strahov)</t>
  </si>
  <si>
    <t>Liga servis (škol. byty)</t>
  </si>
  <si>
    <t>Daň z příjmu MČ</t>
  </si>
  <si>
    <t>Daň z příjmu</t>
  </si>
  <si>
    <t>CELKEM  HČ po zdanění</t>
  </si>
  <si>
    <t>Realing 92  1)</t>
  </si>
  <si>
    <t>nespecifikovaná 2)</t>
  </si>
  <si>
    <t>Vysvětlivky:</t>
  </si>
  <si>
    <t>2) Podrobněji o těchto položkách - viz komentář.</t>
  </si>
  <si>
    <t>1) Společnost Realing 92 ukončila správu k 30.4.2005, schválený rozpočet byl rozdělen mezi společnosti Centra a První společná, které převzaly správu.</t>
  </si>
  <si>
    <t>Souhrnné výsledky hospodářské činnosti vlastního hospodaření hl.m. Prahy za rok 2005 podává následující tabulka:</t>
  </si>
  <si>
    <t>Hodnocení hospodářské činnosti vlastního hospodaření hl.m. Prahy za rok 2005</t>
  </si>
  <si>
    <t xml:space="preserve"> 1-12/05</t>
  </si>
  <si>
    <t>Příloha č. 5 k usnesení ZHMP č.         ze dne       2006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</si>
</sst>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0.000"/>
    <numFmt numFmtId="168" formatCode="#,##0.0000"/>
    <numFmt numFmtId="169" formatCode="#"/>
    <numFmt numFmtId="170" formatCode="#,###"/>
    <numFmt numFmtId="171" formatCode="d/m/yy"/>
  </numFmts>
  <fonts count="8">
    <font>
      <sz val="10"/>
      <name val="Arial CE"/>
      <family val="0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.5"/>
      <name val="Times New Roman CE"/>
      <family val="1"/>
    </font>
    <font>
      <b/>
      <sz val="6.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20" applyFont="1" applyFill="1" applyBorder="1">
      <alignment/>
      <protection/>
    </xf>
    <xf numFmtId="3" fontId="3" fillId="0" borderId="0" xfId="20" applyNumberFormat="1" applyFont="1" applyFill="1" applyBorder="1">
      <alignment/>
      <protection/>
    </xf>
    <xf numFmtId="164" fontId="3" fillId="0" borderId="0" xfId="20" applyNumberFormat="1" applyFont="1" applyFill="1" applyBorder="1" applyAlignment="1">
      <alignment horizontal="right"/>
      <protection/>
    </xf>
    <xf numFmtId="3" fontId="3" fillId="0" borderId="0" xfId="20" applyNumberFormat="1" applyFont="1" applyFill="1" applyBorder="1" applyAlignment="1">
      <alignment horizontal="right"/>
      <protection/>
    </xf>
    <xf numFmtId="0" fontId="3" fillId="0" borderId="0" xfId="20" applyFont="1" applyFill="1">
      <alignment/>
      <protection/>
    </xf>
    <xf numFmtId="0" fontId="1" fillId="0" borderId="0" xfId="20" applyFont="1" applyFill="1">
      <alignment/>
      <protection/>
    </xf>
    <xf numFmtId="3" fontId="1" fillId="0" borderId="0" xfId="20" applyNumberFormat="1" applyFont="1" applyFill="1">
      <alignment/>
      <protection/>
    </xf>
    <xf numFmtId="0" fontId="1" fillId="0" borderId="0" xfId="20" applyFont="1" applyFill="1" applyAlignment="1">
      <alignment horizontal="left"/>
      <protection/>
    </xf>
    <xf numFmtId="0" fontId="1" fillId="0" borderId="0" xfId="20" applyFont="1" applyFill="1" applyAlignment="1">
      <alignment horizontal="right"/>
      <protection/>
    </xf>
    <xf numFmtId="0" fontId="2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6" fillId="0" borderId="1" xfId="20" applyFont="1" applyFill="1" applyBorder="1" applyAlignment="1">
      <alignment horizontal="center"/>
      <protection/>
    </xf>
    <xf numFmtId="0" fontId="6" fillId="0" borderId="2" xfId="20" applyFont="1" applyFill="1" applyBorder="1" applyAlignment="1">
      <alignment horizontal="centerContinuous"/>
      <protection/>
    </xf>
    <xf numFmtId="0" fontId="6" fillId="0" borderId="3" xfId="20" applyFont="1" applyFill="1" applyBorder="1" applyAlignment="1">
      <alignment horizontal="centerContinuous"/>
      <protection/>
    </xf>
    <xf numFmtId="0" fontId="6" fillId="0" borderId="4" xfId="20" applyFont="1" applyFill="1" applyBorder="1" applyAlignment="1">
      <alignment horizontal="centerContinuous"/>
      <protection/>
    </xf>
    <xf numFmtId="0" fontId="6" fillId="0" borderId="5" xfId="20" applyFont="1" applyFill="1" applyBorder="1" applyAlignment="1">
      <alignment horizontal="centerContinuous"/>
      <protection/>
    </xf>
    <xf numFmtId="0" fontId="6" fillId="0" borderId="6" xfId="20" applyFont="1" applyFill="1" applyBorder="1" applyAlignment="1">
      <alignment horizontal="centerContinuous"/>
      <protection/>
    </xf>
    <xf numFmtId="0" fontId="6" fillId="0" borderId="7" xfId="20" applyFont="1" applyFill="1" applyBorder="1">
      <alignment/>
      <protection/>
    </xf>
    <xf numFmtId="0" fontId="6" fillId="0" borderId="8" xfId="20" applyFont="1" applyFill="1" applyBorder="1">
      <alignment/>
      <protection/>
    </xf>
    <xf numFmtId="0" fontId="6" fillId="0" borderId="9" xfId="20" applyFont="1" applyFill="1" applyBorder="1">
      <alignment/>
      <protection/>
    </xf>
    <xf numFmtId="0" fontId="6" fillId="0" borderId="10" xfId="20" applyFont="1" applyFill="1" applyBorder="1">
      <alignment/>
      <protection/>
    </xf>
    <xf numFmtId="0" fontId="6" fillId="0" borderId="9" xfId="20" applyFont="1" applyFill="1" applyBorder="1" applyAlignment="1">
      <alignment horizontal="centerContinuous"/>
      <protection/>
    </xf>
    <xf numFmtId="0" fontId="6" fillId="0" borderId="10" xfId="20" applyFont="1" applyFill="1" applyBorder="1" applyAlignment="1">
      <alignment horizontal="centerContinuous"/>
      <protection/>
    </xf>
    <xf numFmtId="0" fontId="6" fillId="0" borderId="11" xfId="20" applyFont="1" applyFill="1" applyBorder="1">
      <alignment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12" xfId="20" applyFont="1" applyFill="1" applyBorder="1" applyAlignment="1">
      <alignment horizontal="center"/>
      <protection/>
    </xf>
    <xf numFmtId="0" fontId="6" fillId="0" borderId="13" xfId="20" applyFont="1" applyFill="1" applyBorder="1" applyAlignment="1">
      <alignment horizontal="center"/>
      <protection/>
    </xf>
    <xf numFmtId="0" fontId="6" fillId="0" borderId="14" xfId="20" applyFont="1" applyFill="1" applyBorder="1" applyAlignment="1">
      <alignment horizontal="center"/>
      <protection/>
    </xf>
    <xf numFmtId="0" fontId="6" fillId="0" borderId="15" xfId="20" applyFont="1" applyFill="1" applyBorder="1" applyAlignment="1">
      <alignment horizontal="center"/>
      <protection/>
    </xf>
    <xf numFmtId="0" fontId="6" fillId="0" borderId="16" xfId="20" applyFont="1" applyFill="1" applyBorder="1">
      <alignment/>
      <protection/>
    </xf>
    <xf numFmtId="0" fontId="6" fillId="0" borderId="17" xfId="20" applyFont="1" applyFill="1" applyBorder="1" applyAlignment="1">
      <alignment horizontal="center"/>
      <protection/>
    </xf>
    <xf numFmtId="0" fontId="6" fillId="0" borderId="18" xfId="20" applyFont="1" applyFill="1" applyBorder="1" applyAlignment="1">
      <alignment horizontal="center"/>
      <protection/>
    </xf>
    <xf numFmtId="0" fontId="6" fillId="0" borderId="19" xfId="20" applyFont="1" applyFill="1" applyBorder="1" applyAlignment="1">
      <alignment horizontal="center"/>
      <protection/>
    </xf>
    <xf numFmtId="0" fontId="6" fillId="0" borderId="20" xfId="20" applyFont="1" applyFill="1" applyBorder="1" applyAlignment="1">
      <alignment horizontal="center"/>
      <protection/>
    </xf>
    <xf numFmtId="0" fontId="6" fillId="0" borderId="21" xfId="20" applyFont="1" applyFill="1" applyBorder="1" applyAlignment="1">
      <alignment horizontal="center"/>
      <protection/>
    </xf>
    <xf numFmtId="0" fontId="6" fillId="0" borderId="22" xfId="20" applyFont="1" applyFill="1" applyBorder="1">
      <alignment/>
      <protection/>
    </xf>
    <xf numFmtId="3" fontId="6" fillId="0" borderId="23" xfId="20" applyNumberFormat="1" applyFont="1" applyFill="1" applyBorder="1">
      <alignment/>
      <protection/>
    </xf>
    <xf numFmtId="0" fontId="6" fillId="0" borderId="24" xfId="20" applyFont="1" applyFill="1" applyBorder="1">
      <alignment/>
      <protection/>
    </xf>
    <xf numFmtId="0" fontId="6" fillId="0" borderId="25" xfId="20" applyFont="1" applyFill="1" applyBorder="1">
      <alignment/>
      <protection/>
    </xf>
    <xf numFmtId="3" fontId="6" fillId="0" borderId="26" xfId="20" applyNumberFormat="1" applyFont="1" applyFill="1" applyBorder="1">
      <alignment/>
      <protection/>
    </xf>
    <xf numFmtId="0" fontId="7" fillId="0" borderId="7" xfId="20" applyFont="1" applyFill="1" applyBorder="1">
      <alignment/>
      <protection/>
    </xf>
    <xf numFmtId="0" fontId="7" fillId="0" borderId="13" xfId="20" applyFont="1" applyFill="1" applyBorder="1">
      <alignment/>
      <protection/>
    </xf>
    <xf numFmtId="3" fontId="6" fillId="0" borderId="0" xfId="20" applyNumberFormat="1" applyFont="1" applyFill="1" applyBorder="1">
      <alignment/>
      <protection/>
    </xf>
    <xf numFmtId="3" fontId="6" fillId="0" borderId="12" xfId="20" applyNumberFormat="1" applyFont="1" applyFill="1" applyBorder="1">
      <alignment/>
      <protection/>
    </xf>
    <xf numFmtId="164" fontId="6" fillId="0" borderId="13" xfId="20" applyNumberFormat="1" applyFont="1" applyFill="1" applyBorder="1">
      <alignment/>
      <protection/>
    </xf>
    <xf numFmtId="3" fontId="6" fillId="0" borderId="14" xfId="20" applyNumberFormat="1" applyFont="1" applyFill="1" applyBorder="1">
      <alignment/>
      <protection/>
    </xf>
    <xf numFmtId="164" fontId="6" fillId="0" borderId="15" xfId="20" applyNumberFormat="1" applyFont="1" applyFill="1" applyBorder="1">
      <alignment/>
      <protection/>
    </xf>
    <xf numFmtId="0" fontId="7" fillId="0" borderId="16" xfId="20" applyFont="1" applyFill="1" applyBorder="1">
      <alignment/>
      <protection/>
    </xf>
    <xf numFmtId="3" fontId="6" fillId="0" borderId="17" xfId="20" applyNumberFormat="1" applyFont="1" applyFill="1" applyBorder="1">
      <alignment/>
      <protection/>
    </xf>
    <xf numFmtId="3" fontId="6" fillId="0" borderId="27" xfId="20" applyNumberFormat="1" applyFont="1" applyFill="1" applyBorder="1">
      <alignment/>
      <protection/>
    </xf>
    <xf numFmtId="164" fontId="6" fillId="0" borderId="28" xfId="20" applyNumberFormat="1" applyFont="1" applyFill="1" applyBorder="1">
      <alignment/>
      <protection/>
    </xf>
    <xf numFmtId="164" fontId="6" fillId="0" borderId="19" xfId="20" applyNumberFormat="1" applyFont="1" applyFill="1" applyBorder="1">
      <alignment/>
      <protection/>
    </xf>
    <xf numFmtId="3" fontId="6" fillId="0" borderId="20" xfId="20" applyNumberFormat="1" applyFont="1" applyFill="1" applyBorder="1">
      <alignment/>
      <protection/>
    </xf>
    <xf numFmtId="164" fontId="6" fillId="0" borderId="21" xfId="20" applyNumberFormat="1" applyFont="1" applyFill="1" applyBorder="1">
      <alignment/>
      <protection/>
    </xf>
    <xf numFmtId="3" fontId="6" fillId="0" borderId="23" xfId="20" applyNumberFormat="1" applyFont="1" applyFill="1" applyBorder="1" applyAlignment="1">
      <alignment horizontal="right"/>
      <protection/>
    </xf>
    <xf numFmtId="3" fontId="6" fillId="0" borderId="26" xfId="20" applyNumberFormat="1" applyFont="1" applyFill="1" applyBorder="1" applyAlignment="1">
      <alignment horizontal="right"/>
      <protection/>
    </xf>
    <xf numFmtId="3" fontId="6" fillId="0" borderId="18" xfId="20" applyNumberFormat="1" applyFont="1" applyFill="1" applyBorder="1">
      <alignment/>
      <protection/>
    </xf>
    <xf numFmtId="164" fontId="6" fillId="0" borderId="21" xfId="20" applyNumberFormat="1" applyFont="1" applyFill="1" applyBorder="1" applyAlignment="1">
      <alignment horizontal="right"/>
      <protection/>
    </xf>
    <xf numFmtId="3" fontId="6" fillId="0" borderId="20" xfId="20" applyNumberFormat="1" applyFont="1" applyFill="1" applyBorder="1" applyAlignment="1">
      <alignment horizontal="right"/>
      <protection/>
    </xf>
    <xf numFmtId="0" fontId="6" fillId="0" borderId="1" xfId="20" applyFont="1" applyFill="1" applyBorder="1">
      <alignment/>
      <protection/>
    </xf>
    <xf numFmtId="3" fontId="6" fillId="0" borderId="29" xfId="20" applyNumberFormat="1" applyFont="1" applyFill="1" applyBorder="1">
      <alignment/>
      <protection/>
    </xf>
    <xf numFmtId="3" fontId="6" fillId="0" borderId="29" xfId="20" applyNumberFormat="1" applyFont="1" applyFill="1" applyBorder="1" applyAlignment="1">
      <alignment horizontal="right"/>
      <protection/>
    </xf>
    <xf numFmtId="0" fontId="6" fillId="0" borderId="30" xfId="20" applyFont="1" applyFill="1" applyBorder="1">
      <alignment/>
      <protection/>
    </xf>
    <xf numFmtId="0" fontId="6" fillId="0" borderId="31" xfId="20" applyFont="1" applyFill="1" applyBorder="1">
      <alignment/>
      <protection/>
    </xf>
    <xf numFmtId="0" fontId="6" fillId="0" borderId="32" xfId="20" applyFont="1" applyFill="1" applyBorder="1" applyAlignment="1">
      <alignment horizontal="center"/>
      <protection/>
    </xf>
    <xf numFmtId="0" fontId="6" fillId="0" borderId="33" xfId="20" applyFont="1" applyFill="1" applyBorder="1" applyAlignment="1">
      <alignment horizontal="center"/>
      <protection/>
    </xf>
    <xf numFmtId="0" fontId="6" fillId="0" borderId="34" xfId="20" applyFont="1" applyFill="1" applyBorder="1" applyAlignment="1">
      <alignment horizontal="center"/>
      <protection/>
    </xf>
    <xf numFmtId="3" fontId="6" fillId="0" borderId="34" xfId="20" applyNumberFormat="1" applyFont="1" applyFill="1" applyBorder="1">
      <alignment/>
      <protection/>
    </xf>
    <xf numFmtId="0" fontId="6" fillId="0" borderId="35" xfId="20" applyFont="1" applyFill="1" applyBorder="1">
      <alignment/>
      <protection/>
    </xf>
    <xf numFmtId="0" fontId="7" fillId="0" borderId="35" xfId="20" applyFont="1" applyFill="1" applyBorder="1">
      <alignment/>
      <protection/>
    </xf>
    <xf numFmtId="3" fontId="6" fillId="0" borderId="36" xfId="20" applyNumberFormat="1" applyFont="1" applyFill="1" applyBorder="1">
      <alignment/>
      <protection/>
    </xf>
    <xf numFmtId="3" fontId="6" fillId="0" borderId="37" xfId="20" applyNumberFormat="1" applyFont="1" applyFill="1" applyBorder="1">
      <alignment/>
      <protection/>
    </xf>
    <xf numFmtId="3" fontId="6" fillId="0" borderId="38" xfId="20" applyNumberFormat="1" applyFont="1" applyFill="1" applyBorder="1">
      <alignment/>
      <protection/>
    </xf>
    <xf numFmtId="3" fontId="6" fillId="0" borderId="39" xfId="20" applyNumberFormat="1" applyFont="1" applyFill="1" applyBorder="1">
      <alignment/>
      <protection/>
    </xf>
    <xf numFmtId="3" fontId="7" fillId="0" borderId="38" xfId="20" applyNumberFormat="1" applyFont="1" applyFill="1" applyBorder="1">
      <alignment/>
      <protection/>
    </xf>
    <xf numFmtId="3" fontId="7" fillId="0" borderId="12" xfId="20" applyNumberFormat="1" applyFont="1" applyFill="1" applyBorder="1">
      <alignment/>
      <protection/>
    </xf>
    <xf numFmtId="3" fontId="6" fillId="0" borderId="36" xfId="20" applyNumberFormat="1" applyFont="1" applyFill="1" applyBorder="1" applyAlignment="1">
      <alignment horizontal="right"/>
      <protection/>
    </xf>
    <xf numFmtId="3" fontId="6" fillId="0" borderId="34" xfId="20" applyNumberFormat="1" applyFont="1" applyFill="1" applyBorder="1" applyAlignment="1">
      <alignment horizontal="right"/>
      <protection/>
    </xf>
    <xf numFmtId="0" fontId="6" fillId="0" borderId="40" xfId="20" applyFont="1" applyFill="1" applyBorder="1">
      <alignment/>
      <protection/>
    </xf>
    <xf numFmtId="3" fontId="6" fillId="0" borderId="41" xfId="20" applyNumberFormat="1" applyFont="1" applyFill="1" applyBorder="1">
      <alignment/>
      <protection/>
    </xf>
    <xf numFmtId="3" fontId="6" fillId="0" borderId="42" xfId="20" applyNumberFormat="1" applyFont="1" applyFill="1" applyBorder="1">
      <alignment/>
      <protection/>
    </xf>
    <xf numFmtId="3" fontId="6" fillId="0" borderId="43" xfId="20" applyNumberFormat="1" applyFont="1" applyFill="1" applyBorder="1">
      <alignment/>
      <protection/>
    </xf>
    <xf numFmtId="164" fontId="6" fillId="0" borderId="44" xfId="20" applyNumberFormat="1" applyFont="1" applyFill="1" applyBorder="1" applyAlignment="1">
      <alignment horizontal="right"/>
      <protection/>
    </xf>
    <xf numFmtId="3" fontId="6" fillId="0" borderId="41" xfId="20" applyNumberFormat="1" applyFont="1" applyFill="1" applyBorder="1" applyAlignment="1">
      <alignment horizontal="right"/>
      <protection/>
    </xf>
    <xf numFmtId="164" fontId="6" fillId="0" borderId="45" xfId="20" applyNumberFormat="1" applyFont="1" applyFill="1" applyBorder="1" applyAlignment="1">
      <alignment horizontal="right"/>
      <protection/>
    </xf>
    <xf numFmtId="3" fontId="6" fillId="0" borderId="14" xfId="20" applyNumberFormat="1" applyFont="1" applyFill="1" applyBorder="1" applyAlignment="1">
      <alignment horizontal="right"/>
      <protection/>
    </xf>
    <xf numFmtId="164" fontId="6" fillId="0" borderId="13" xfId="20" applyNumberFormat="1" applyFont="1" applyFill="1" applyBorder="1" applyAlignment="1">
      <alignment horizontal="right"/>
      <protection/>
    </xf>
    <xf numFmtId="3" fontId="6" fillId="0" borderId="46" xfId="20" applyNumberFormat="1" applyFont="1" applyFill="1" applyBorder="1">
      <alignment/>
      <protection/>
    </xf>
    <xf numFmtId="164" fontId="6" fillId="0" borderId="10" xfId="20" applyNumberFormat="1" applyFont="1" applyFill="1" applyBorder="1">
      <alignment/>
      <protection/>
    </xf>
    <xf numFmtId="164" fontId="6" fillId="0" borderId="11" xfId="20" applyNumberFormat="1" applyFont="1" applyFill="1" applyBorder="1">
      <alignment/>
      <protection/>
    </xf>
    <xf numFmtId="164" fontId="6" fillId="0" borderId="47" xfId="20" applyNumberFormat="1" applyFont="1" applyFill="1" applyBorder="1">
      <alignment/>
      <protection/>
    </xf>
    <xf numFmtId="164" fontId="6" fillId="0" borderId="11" xfId="20" applyNumberFormat="1" applyFont="1" applyFill="1" applyBorder="1" applyAlignment="1">
      <alignment horizontal="right"/>
      <protection/>
    </xf>
    <xf numFmtId="164" fontId="6" fillId="0" borderId="48" xfId="20" applyNumberFormat="1" applyFont="1" applyFill="1" applyBorder="1">
      <alignment/>
      <protection/>
    </xf>
    <xf numFmtId="164" fontId="6" fillId="0" borderId="49" xfId="20" applyNumberFormat="1" applyFont="1" applyFill="1" applyBorder="1">
      <alignment/>
      <protection/>
    </xf>
    <xf numFmtId="164" fontId="6" fillId="0" borderId="50" xfId="20" applyNumberFormat="1" applyFont="1" applyFill="1" applyBorder="1" applyAlignment="1">
      <alignment horizontal="right"/>
      <protection/>
    </xf>
    <xf numFmtId="3" fontId="6" fillId="0" borderId="51" xfId="20" applyNumberFormat="1" applyFont="1" applyFill="1" applyBorder="1">
      <alignment/>
      <protection/>
    </xf>
    <xf numFmtId="164" fontId="6" fillId="0" borderId="49" xfId="20" applyNumberFormat="1" applyFont="1" applyFill="1" applyBorder="1" applyAlignment="1">
      <alignment horizontal="right"/>
      <protection/>
    </xf>
    <xf numFmtId="164" fontId="6" fillId="0" borderId="48" xfId="20" applyNumberFormat="1" applyFont="1" applyFill="1" applyBorder="1" applyAlignment="1">
      <alignment horizontal="right"/>
      <protection/>
    </xf>
    <xf numFmtId="164" fontId="6" fillId="0" borderId="52" xfId="20" applyNumberFormat="1" applyFont="1" applyFill="1" applyBorder="1" applyAlignment="1">
      <alignment horizontal="right"/>
      <protection/>
    </xf>
    <xf numFmtId="164" fontId="6" fillId="0" borderId="52" xfId="20" applyNumberFormat="1" applyFont="1" applyFill="1" applyBorder="1">
      <alignment/>
      <protection/>
    </xf>
    <xf numFmtId="164" fontId="6" fillId="0" borderId="50" xfId="20" applyNumberFormat="1" applyFont="1" applyFill="1" applyBorder="1">
      <alignment/>
      <protection/>
    </xf>
    <xf numFmtId="164" fontId="6" fillId="0" borderId="53" xfId="20" applyNumberFormat="1" applyFont="1" applyFill="1" applyBorder="1">
      <alignment/>
      <protection/>
    </xf>
    <xf numFmtId="164" fontId="6" fillId="0" borderId="3" xfId="20" applyNumberFormat="1" applyFont="1" applyFill="1" applyBorder="1" applyAlignment="1">
      <alignment horizontal="right"/>
      <protection/>
    </xf>
    <xf numFmtId="164" fontId="6" fillId="0" borderId="19" xfId="20" applyNumberFormat="1" applyFont="1" applyFill="1" applyBorder="1" applyAlignment="1">
      <alignment horizontal="right"/>
      <protection/>
    </xf>
    <xf numFmtId="164" fontId="6" fillId="0" borderId="3" xfId="20" applyNumberFormat="1" applyFont="1" applyFill="1" applyBorder="1">
      <alignment/>
      <protection/>
    </xf>
    <xf numFmtId="164" fontId="6" fillId="0" borderId="6" xfId="20" applyNumberFormat="1" applyFont="1" applyFill="1" applyBorder="1">
      <alignment/>
      <protection/>
    </xf>
    <xf numFmtId="3" fontId="6" fillId="0" borderId="54" xfId="20" applyNumberFormat="1" applyFont="1" applyFill="1" applyBorder="1">
      <alignment/>
      <protection/>
    </xf>
    <xf numFmtId="164" fontId="6" fillId="0" borderId="6" xfId="20" applyNumberFormat="1" applyFont="1" applyFill="1" applyBorder="1" applyAlignment="1">
      <alignment horizontal="right"/>
      <protection/>
    </xf>
    <xf numFmtId="3" fontId="6" fillId="0" borderId="54" xfId="20" applyNumberFormat="1" applyFont="1" applyFill="1" applyBorder="1" applyAlignment="1">
      <alignment horizontal="right"/>
      <protection/>
    </xf>
    <xf numFmtId="3" fontId="6" fillId="0" borderId="18" xfId="20" applyNumberFormat="1" applyFont="1" applyFill="1" applyBorder="1" applyAlignment="1">
      <alignment horizontal="right"/>
      <protection/>
    </xf>
    <xf numFmtId="0" fontId="6" fillId="0" borderId="3" xfId="20" applyFont="1" applyFill="1" applyBorder="1">
      <alignment/>
      <protection/>
    </xf>
    <xf numFmtId="164" fontId="6" fillId="0" borderId="44" xfId="20" applyNumberFormat="1" applyFont="1" applyFill="1" applyBorder="1">
      <alignment/>
      <protection/>
    </xf>
    <xf numFmtId="0" fontId="6" fillId="0" borderId="13" xfId="20" applyFont="1" applyFill="1" applyBorder="1">
      <alignment/>
      <protection/>
    </xf>
    <xf numFmtId="3" fontId="6" fillId="0" borderId="55" xfId="20" applyNumberFormat="1" applyFont="1" applyFill="1" applyBorder="1">
      <alignment/>
      <protection/>
    </xf>
    <xf numFmtId="164" fontId="6" fillId="0" borderId="10" xfId="20" applyNumberFormat="1" applyFont="1" applyFill="1" applyBorder="1" applyAlignment="1">
      <alignment horizontal="right"/>
      <protection/>
    </xf>
    <xf numFmtId="3" fontId="6" fillId="0" borderId="38" xfId="20" applyNumberFormat="1" applyFont="1" applyFill="1" applyBorder="1" applyAlignment="1">
      <alignment horizontal="right"/>
      <protection/>
    </xf>
    <xf numFmtId="3" fontId="6" fillId="0" borderId="12" xfId="20" applyNumberFormat="1" applyFont="1" applyFill="1" applyBorder="1" applyAlignment="1">
      <alignment horizontal="right"/>
      <protection/>
    </xf>
    <xf numFmtId="164" fontId="6" fillId="0" borderId="56" xfId="20" applyNumberFormat="1" applyFont="1" applyFill="1" applyBorder="1" applyAlignment="1">
      <alignment horizontal="right"/>
      <protection/>
    </xf>
    <xf numFmtId="164" fontId="6" fillId="0" borderId="15" xfId="20" applyNumberFormat="1" applyFont="1" applyFill="1" applyBorder="1" applyAlignment="1">
      <alignment horizontal="right"/>
      <protection/>
    </xf>
    <xf numFmtId="164" fontId="6" fillId="0" borderId="57" xfId="20" applyNumberFormat="1" applyFont="1" applyFill="1" applyBorder="1">
      <alignment/>
      <protection/>
    </xf>
    <xf numFmtId="3" fontId="6" fillId="0" borderId="58" xfId="20" applyNumberFormat="1" applyFont="1" applyFill="1" applyBorder="1">
      <alignment/>
      <protection/>
    </xf>
    <xf numFmtId="164" fontId="6" fillId="0" borderId="57" xfId="20" applyNumberFormat="1" applyFont="1" applyFill="1" applyBorder="1" applyAlignment="1">
      <alignment horizontal="right"/>
      <protection/>
    </xf>
    <xf numFmtId="164" fontId="6" fillId="0" borderId="59" xfId="20" applyNumberFormat="1" applyFont="1" applyFill="1" applyBorder="1" applyAlignment="1">
      <alignment horizontal="right"/>
      <protection/>
    </xf>
    <xf numFmtId="3" fontId="6" fillId="0" borderId="60" xfId="20" applyNumberFormat="1" applyFont="1" applyFill="1" applyBorder="1">
      <alignment/>
      <protection/>
    </xf>
    <xf numFmtId="3" fontId="6" fillId="0" borderId="9" xfId="20" applyNumberFormat="1" applyFont="1" applyFill="1" applyBorder="1">
      <alignment/>
      <protection/>
    </xf>
    <xf numFmtId="3" fontId="6" fillId="0" borderId="51" xfId="20" applyNumberFormat="1" applyFont="1" applyFill="1">
      <alignment/>
      <protection/>
    </xf>
    <xf numFmtId="3" fontId="6" fillId="0" borderId="23" xfId="20" applyNumberFormat="1" applyFont="1" applyFill="1">
      <alignment/>
      <protection/>
    </xf>
    <xf numFmtId="3" fontId="6" fillId="0" borderId="61" xfId="20" applyNumberFormat="1" applyFont="1" applyFill="1">
      <alignment/>
      <protection/>
    </xf>
    <xf numFmtId="3" fontId="6" fillId="2" borderId="41" xfId="20" applyNumberFormat="1" applyFont="1" applyFill="1" applyBorder="1">
      <alignment/>
      <protection/>
    </xf>
    <xf numFmtId="3" fontId="6" fillId="2" borderId="62" xfId="20" applyNumberFormat="1" applyFont="1" applyFill="1" applyBorder="1">
      <alignment/>
      <protection/>
    </xf>
    <xf numFmtId="3" fontId="6" fillId="2" borderId="62" xfId="20" applyNumberFormat="1" applyFont="1" applyFill="1" applyBorder="1" applyAlignment="1">
      <alignment horizontal="right"/>
      <protection/>
    </xf>
    <xf numFmtId="3" fontId="6" fillId="0" borderId="37" xfId="20" applyNumberFormat="1" applyFont="1" applyFill="1" applyBorder="1" applyAlignment="1">
      <alignment horizontal="right"/>
      <protection/>
    </xf>
    <xf numFmtId="3" fontId="6" fillId="0" borderId="63" xfId="20" applyNumberFormat="1" applyFont="1" applyFill="1" applyBorder="1">
      <alignment/>
      <protection/>
    </xf>
    <xf numFmtId="3" fontId="6" fillId="0" borderId="46" xfId="20" applyNumberFormat="1" applyFont="1" applyFill="1" applyBorder="1" applyAlignment="1">
      <alignment horizontal="right"/>
      <protection/>
    </xf>
    <xf numFmtId="3" fontId="6" fillId="0" borderId="51" xfId="20" applyNumberFormat="1" applyFont="1" applyFill="1" applyBorder="1" applyAlignment="1">
      <alignment horizontal="right"/>
      <protection/>
    </xf>
    <xf numFmtId="3" fontId="6" fillId="0" borderId="64" xfId="20" applyNumberFormat="1" applyFont="1" applyFill="1" applyBorder="1">
      <alignment/>
      <protection/>
    </xf>
    <xf numFmtId="3" fontId="6" fillId="0" borderId="65" xfId="20" applyNumberFormat="1" applyFont="1" applyFill="1" applyBorder="1">
      <alignment/>
      <protection/>
    </xf>
    <xf numFmtId="3" fontId="6" fillId="0" borderId="65" xfId="20" applyNumberFormat="1" applyFont="1" applyFill="1" applyBorder="1" applyAlignment="1">
      <alignment horizontal="right"/>
      <protection/>
    </xf>
    <xf numFmtId="3" fontId="6" fillId="0" borderId="66" xfId="20" applyNumberFormat="1" applyFont="1" applyFill="1" applyBorder="1">
      <alignment/>
      <protection/>
    </xf>
    <xf numFmtId="3" fontId="6" fillId="0" borderId="67" xfId="20" applyNumberFormat="1" applyFont="1" applyFill="1" applyBorder="1">
      <alignment/>
      <protection/>
    </xf>
    <xf numFmtId="3" fontId="6" fillId="0" borderId="68" xfId="20" applyNumberFormat="1" applyFont="1" applyFill="1" applyBorder="1">
      <alignment/>
      <protection/>
    </xf>
    <xf numFmtId="3" fontId="6" fillId="0" borderId="67" xfId="20" applyNumberFormat="1" applyFont="1" applyFill="1" applyBorder="1" applyAlignment="1">
      <alignment horizontal="right"/>
      <protection/>
    </xf>
    <xf numFmtId="3" fontId="6" fillId="0" borderId="58" xfId="20" applyNumberFormat="1" applyFont="1" applyFill="1" applyBorder="1" applyAlignment="1">
      <alignment horizontal="right"/>
      <protection/>
    </xf>
    <xf numFmtId="3" fontId="6" fillId="0" borderId="62" xfId="20" applyNumberFormat="1" applyFont="1" applyFill="1" applyBorder="1">
      <alignment/>
      <protection/>
    </xf>
    <xf numFmtId="3" fontId="6" fillId="0" borderId="69" xfId="20" applyNumberFormat="1" applyFont="1" applyFill="1" applyBorder="1">
      <alignment/>
      <protection/>
    </xf>
    <xf numFmtId="0" fontId="1" fillId="0" borderId="0" xfId="20" applyFont="1" applyFill="1" applyAlignment="1">
      <alignment/>
      <protection/>
    </xf>
    <xf numFmtId="0" fontId="6" fillId="0" borderId="70" xfId="20" applyFont="1" applyFill="1" applyBorder="1" applyAlignment="1">
      <alignment horizontal="center"/>
      <protection/>
    </xf>
    <xf numFmtId="0" fontId="6" fillId="0" borderId="2" xfId="20" applyFont="1" applyFill="1" applyBorder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opie - 1.Q 03-HČ rozb-tab. celk. výsledk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95</xdr:row>
      <xdr:rowOff>0</xdr:rowOff>
    </xdr:from>
    <xdr:to>
      <xdr:col>18</xdr:col>
      <xdr:colOff>0</xdr:colOff>
      <xdr:row>95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105900" y="13820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106"/>
  <sheetViews>
    <sheetView tabSelected="1" workbookViewId="0" topLeftCell="A1">
      <selection activeCell="S5" sqref="S5"/>
    </sheetView>
  </sheetViews>
  <sheetFormatPr defaultColWidth="9.00390625" defaultRowHeight="12.75"/>
  <cols>
    <col min="1" max="1" width="14.75390625" style="6" customWidth="1"/>
    <col min="2" max="3" width="6.75390625" style="6" customWidth="1"/>
    <col min="4" max="4" width="4.75390625" style="6" customWidth="1"/>
    <col min="5" max="6" width="6.75390625" style="6" customWidth="1"/>
    <col min="7" max="7" width="4.75390625" style="6" customWidth="1"/>
    <col min="8" max="9" width="6.75390625" style="6" customWidth="1"/>
    <col min="10" max="10" width="4.75390625" style="6" customWidth="1"/>
    <col min="11" max="12" width="6.75390625" style="6" customWidth="1"/>
    <col min="13" max="13" width="4.75390625" style="6" customWidth="1"/>
    <col min="14" max="15" width="6.75390625" style="6" customWidth="1"/>
    <col min="16" max="16" width="4.75390625" style="6" customWidth="1"/>
    <col min="17" max="18" width="6.75390625" style="6" customWidth="1"/>
    <col min="19" max="19" width="4.75390625" style="6" customWidth="1"/>
    <col min="20" max="21" width="6.75390625" style="6" customWidth="1"/>
    <col min="22" max="22" width="4.75390625" style="6" customWidth="1"/>
    <col min="23" max="24" width="6.75390625" style="6" customWidth="1"/>
    <col min="25" max="25" width="4.75390625" style="6" customWidth="1"/>
    <col min="26" max="122" width="10.75390625" style="6" customWidth="1"/>
    <col min="123" max="141" width="6.75390625" style="6" customWidth="1"/>
    <col min="142" max="16384" width="9.125" style="6" customWidth="1"/>
  </cols>
  <sheetData>
    <row r="4" spans="19:25" ht="12.75">
      <c r="S4" s="146" t="s">
        <v>81</v>
      </c>
      <c r="T4" s="146"/>
      <c r="U4" s="146"/>
      <c r="V4" s="146"/>
      <c r="W4" s="146"/>
      <c r="X4" s="146"/>
      <c r="Y4" s="146"/>
    </row>
    <row r="7" spans="1:25" ht="12" customHeight="1">
      <c r="A7" s="8" t="s">
        <v>78</v>
      </c>
      <c r="B7" s="8"/>
      <c r="C7" s="8"/>
      <c r="D7" s="8"/>
      <c r="Y7" s="9"/>
    </row>
    <row r="8" ht="12" customHeight="1"/>
    <row r="9" spans="1:10" ht="12.75" customHeight="1">
      <c r="A9" s="10" t="s">
        <v>79</v>
      </c>
      <c r="B9" s="10"/>
      <c r="C9" s="10"/>
      <c r="D9" s="10"/>
      <c r="G9" s="11"/>
      <c r="H9" s="11"/>
      <c r="I9" s="11"/>
      <c r="J9" s="11"/>
    </row>
    <row r="10" spans="17:25" ht="12" customHeight="1" thickBot="1">
      <c r="Q10" s="9"/>
      <c r="X10" s="9"/>
      <c r="Y10" s="9" t="s">
        <v>0</v>
      </c>
    </row>
    <row r="11" spans="1:25" ht="12" customHeight="1">
      <c r="A11" s="12" t="s">
        <v>1</v>
      </c>
      <c r="B11" s="147" t="s">
        <v>64</v>
      </c>
      <c r="C11" s="148"/>
      <c r="D11" s="149"/>
      <c r="E11" s="147" t="s">
        <v>2</v>
      </c>
      <c r="F11" s="148"/>
      <c r="G11" s="149"/>
      <c r="H11" s="13" t="s">
        <v>65</v>
      </c>
      <c r="I11" s="13"/>
      <c r="J11" s="14"/>
      <c r="K11" s="13" t="s">
        <v>3</v>
      </c>
      <c r="L11" s="13"/>
      <c r="M11" s="14"/>
      <c r="N11" s="15" t="s">
        <v>4</v>
      </c>
      <c r="O11" s="15"/>
      <c r="P11" s="15"/>
      <c r="Q11" s="15"/>
      <c r="R11" s="15"/>
      <c r="S11" s="15"/>
      <c r="T11" s="15"/>
      <c r="U11" s="15"/>
      <c r="V11" s="16"/>
      <c r="W11" s="13" t="s">
        <v>5</v>
      </c>
      <c r="X11" s="13"/>
      <c r="Y11" s="17"/>
    </row>
    <row r="12" spans="1:25" ht="12" customHeight="1">
      <c r="A12" s="18"/>
      <c r="B12" s="19"/>
      <c r="C12" s="20"/>
      <c r="D12" s="21"/>
      <c r="E12" s="20"/>
      <c r="F12" s="20"/>
      <c r="G12" s="21"/>
      <c r="H12" s="20"/>
      <c r="I12" s="20"/>
      <c r="J12" s="21"/>
      <c r="K12" s="20"/>
      <c r="L12" s="20"/>
      <c r="M12" s="21"/>
      <c r="N12" s="22" t="s">
        <v>6</v>
      </c>
      <c r="O12" s="22"/>
      <c r="P12" s="23"/>
      <c r="Q12" s="22" t="s">
        <v>7</v>
      </c>
      <c r="R12" s="22"/>
      <c r="S12" s="23"/>
      <c r="T12" s="22" t="s">
        <v>8</v>
      </c>
      <c r="U12" s="22"/>
      <c r="V12" s="23"/>
      <c r="W12" s="20"/>
      <c r="X12" s="20"/>
      <c r="Y12" s="24"/>
    </row>
    <row r="13" spans="1:25" ht="12" customHeight="1">
      <c r="A13" s="18"/>
      <c r="B13" s="65" t="s">
        <v>9</v>
      </c>
      <c r="C13" s="66" t="s">
        <v>10</v>
      </c>
      <c r="D13" s="27" t="s">
        <v>31</v>
      </c>
      <c r="E13" s="25" t="s">
        <v>9</v>
      </c>
      <c r="F13" s="26" t="s">
        <v>10</v>
      </c>
      <c r="G13" s="27" t="s">
        <v>11</v>
      </c>
      <c r="H13" s="65" t="s">
        <v>9</v>
      </c>
      <c r="I13" s="66" t="s">
        <v>10</v>
      </c>
      <c r="J13" s="27" t="s">
        <v>31</v>
      </c>
      <c r="K13" s="28" t="s">
        <v>9</v>
      </c>
      <c r="L13" s="28" t="s">
        <v>10</v>
      </c>
      <c r="M13" s="27" t="s">
        <v>12</v>
      </c>
      <c r="N13" s="28" t="s">
        <v>9</v>
      </c>
      <c r="O13" s="28" t="s">
        <v>10</v>
      </c>
      <c r="P13" s="27" t="s">
        <v>11</v>
      </c>
      <c r="Q13" s="28" t="s">
        <v>9</v>
      </c>
      <c r="R13" s="28" t="s">
        <v>10</v>
      </c>
      <c r="S13" s="27" t="s">
        <v>11</v>
      </c>
      <c r="T13" s="28" t="s">
        <v>9</v>
      </c>
      <c r="U13" s="28" t="s">
        <v>10</v>
      </c>
      <c r="V13" s="27" t="s">
        <v>11</v>
      </c>
      <c r="W13" s="28" t="s">
        <v>9</v>
      </c>
      <c r="X13" s="28" t="s">
        <v>10</v>
      </c>
      <c r="Y13" s="29" t="s">
        <v>11</v>
      </c>
    </row>
    <row r="14" spans="1:25" ht="12" customHeight="1" thickBot="1">
      <c r="A14" s="30"/>
      <c r="B14" s="67"/>
      <c r="C14" s="32" t="s">
        <v>80</v>
      </c>
      <c r="D14" s="33" t="s">
        <v>13</v>
      </c>
      <c r="E14" s="31"/>
      <c r="F14" s="32" t="s">
        <v>80</v>
      </c>
      <c r="G14" s="33" t="s">
        <v>13</v>
      </c>
      <c r="H14" s="67"/>
      <c r="I14" s="32" t="s">
        <v>80</v>
      </c>
      <c r="J14" s="33" t="s">
        <v>13</v>
      </c>
      <c r="K14" s="34"/>
      <c r="L14" s="32" t="s">
        <v>80</v>
      </c>
      <c r="M14" s="33" t="s">
        <v>13</v>
      </c>
      <c r="N14" s="34"/>
      <c r="O14" s="32" t="s">
        <v>80</v>
      </c>
      <c r="P14" s="33" t="s">
        <v>13</v>
      </c>
      <c r="Q14" s="34"/>
      <c r="R14" s="32" t="s">
        <v>80</v>
      </c>
      <c r="S14" s="33" t="s">
        <v>13</v>
      </c>
      <c r="T14" s="34"/>
      <c r="U14" s="32" t="s">
        <v>80</v>
      </c>
      <c r="V14" s="33" t="s">
        <v>13</v>
      </c>
      <c r="W14" s="34"/>
      <c r="X14" s="32" t="s">
        <v>80</v>
      </c>
      <c r="Y14" s="35" t="s">
        <v>13</v>
      </c>
    </row>
    <row r="15" spans="1:25" ht="11.25" customHeight="1">
      <c r="A15" s="36" t="s">
        <v>14</v>
      </c>
      <c r="B15" s="72">
        <f>24600+6447</f>
        <v>31047</v>
      </c>
      <c r="C15" s="96">
        <f>31208-1608</f>
        <v>29600</v>
      </c>
      <c r="D15" s="94">
        <f>C15*100/B15</f>
        <v>95.33932425033015</v>
      </c>
      <c r="E15" s="124">
        <v>31047</v>
      </c>
      <c r="F15" s="96">
        <v>31208</v>
      </c>
      <c r="G15" s="94">
        <f>F15*100/E15</f>
        <v>100.518568621767</v>
      </c>
      <c r="H15" s="72">
        <f aca="true" t="shared" si="0" ref="H15:I20">K15</f>
        <v>25005</v>
      </c>
      <c r="I15" s="96">
        <f t="shared" si="0"/>
        <v>21308</v>
      </c>
      <c r="J15" s="94">
        <f>I15*100/H15</f>
        <v>85.21495700859828</v>
      </c>
      <c r="K15" s="37">
        <f>N15+Q15+T15</f>
        <v>25005</v>
      </c>
      <c r="L15" s="37">
        <f>O15+R15+U15</f>
        <v>21308</v>
      </c>
      <c r="M15" s="94">
        <f>L15*100/K15</f>
        <v>85.21495700859828</v>
      </c>
      <c r="N15" s="37">
        <f>3630+575</f>
        <v>4205</v>
      </c>
      <c r="O15" s="37">
        <v>4497</v>
      </c>
      <c r="P15" s="94">
        <f>O15*100/N15</f>
        <v>106.94411414982164</v>
      </c>
      <c r="Q15" s="37">
        <f>4875+1255</f>
        <v>6130</v>
      </c>
      <c r="R15" s="37">
        <v>4721</v>
      </c>
      <c r="S15" s="94">
        <f>R15*100/Q15</f>
        <v>77.01468189233279</v>
      </c>
      <c r="T15" s="37">
        <f>11300+3370</f>
        <v>14670</v>
      </c>
      <c r="U15" s="37">
        <v>12090</v>
      </c>
      <c r="V15" s="94">
        <f>U15*100/T15</f>
        <v>82.41308793456032</v>
      </c>
      <c r="W15" s="37">
        <f aca="true" t="shared" si="1" ref="W15:X20">E15-K15</f>
        <v>6042</v>
      </c>
      <c r="X15" s="37">
        <f t="shared" si="1"/>
        <v>9900</v>
      </c>
      <c r="Y15" s="101">
        <f>X15*100/W15</f>
        <v>163.85302879841112</v>
      </c>
    </row>
    <row r="16" spans="1:25" ht="11.25" customHeight="1">
      <c r="A16" s="38" t="s">
        <v>73</v>
      </c>
      <c r="B16" s="72">
        <v>0</v>
      </c>
      <c r="C16" s="96">
        <v>0</v>
      </c>
      <c r="D16" s="97" t="s">
        <v>15</v>
      </c>
      <c r="E16" s="124">
        <v>0</v>
      </c>
      <c r="F16" s="126">
        <v>0</v>
      </c>
      <c r="G16" s="98" t="s">
        <v>15</v>
      </c>
      <c r="H16" s="72">
        <f t="shared" si="0"/>
        <v>0</v>
      </c>
      <c r="I16" s="96">
        <f t="shared" si="0"/>
        <v>0</v>
      </c>
      <c r="J16" s="97" t="s">
        <v>15</v>
      </c>
      <c r="K16" s="37">
        <v>0</v>
      </c>
      <c r="L16" s="37">
        <f>O16+R16+U16</f>
        <v>0</v>
      </c>
      <c r="M16" s="98" t="s">
        <v>15</v>
      </c>
      <c r="N16" s="37">
        <v>0</v>
      </c>
      <c r="O16" s="127">
        <v>0</v>
      </c>
      <c r="P16" s="98" t="s">
        <v>15</v>
      </c>
      <c r="Q16" s="37">
        <v>0</v>
      </c>
      <c r="R16" s="128">
        <v>0</v>
      </c>
      <c r="S16" s="98" t="s">
        <v>15</v>
      </c>
      <c r="T16" s="37">
        <v>0</v>
      </c>
      <c r="U16" s="127">
        <v>0</v>
      </c>
      <c r="V16" s="98" t="s">
        <v>15</v>
      </c>
      <c r="W16" s="37">
        <f t="shared" si="1"/>
        <v>0</v>
      </c>
      <c r="X16" s="37">
        <f t="shared" si="1"/>
        <v>0</v>
      </c>
      <c r="Y16" s="99" t="s">
        <v>15</v>
      </c>
    </row>
    <row r="17" spans="1:25" ht="11.25" customHeight="1">
      <c r="A17" s="38" t="s">
        <v>16</v>
      </c>
      <c r="B17" s="72">
        <f>44564+7634</f>
        <v>52198</v>
      </c>
      <c r="C17" s="96">
        <f>53629-1370</f>
        <v>52259</v>
      </c>
      <c r="D17" s="94">
        <f>C17*100/B17</f>
        <v>100.11686271504655</v>
      </c>
      <c r="E17" s="124">
        <v>53198</v>
      </c>
      <c r="F17" s="126">
        <v>53629</v>
      </c>
      <c r="G17" s="93">
        <f>F17*100/E17</f>
        <v>100.81018083386593</v>
      </c>
      <c r="H17" s="72">
        <f t="shared" si="0"/>
        <v>39578</v>
      </c>
      <c r="I17" s="96">
        <f t="shared" si="0"/>
        <v>37856</v>
      </c>
      <c r="J17" s="94">
        <f>I17*100/H17</f>
        <v>95.64909798372834</v>
      </c>
      <c r="K17" s="37">
        <f>N17+Q17+T17</f>
        <v>39578</v>
      </c>
      <c r="L17" s="37">
        <f>O17+R17+U17</f>
        <v>37856</v>
      </c>
      <c r="M17" s="93">
        <f>L17*100/K17</f>
        <v>95.64909798372834</v>
      </c>
      <c r="N17" s="37">
        <v>3300</v>
      </c>
      <c r="O17" s="127">
        <v>3571</v>
      </c>
      <c r="P17" s="93">
        <f>O17*100/N17</f>
        <v>108.21212121212122</v>
      </c>
      <c r="Q17" s="37">
        <v>7914</v>
      </c>
      <c r="R17" s="128">
        <v>6164</v>
      </c>
      <c r="S17" s="93">
        <f>R17*100/Q17</f>
        <v>77.88728834975991</v>
      </c>
      <c r="T17" s="37">
        <v>28364</v>
      </c>
      <c r="U17" s="127">
        <v>28121</v>
      </c>
      <c r="V17" s="93">
        <f>U17*100/T17</f>
        <v>99.14328021435622</v>
      </c>
      <c r="W17" s="37">
        <f t="shared" si="1"/>
        <v>13620</v>
      </c>
      <c r="X17" s="37">
        <f t="shared" si="1"/>
        <v>15773</v>
      </c>
      <c r="Y17" s="100">
        <f>X17*100/W17</f>
        <v>115.80763582966226</v>
      </c>
    </row>
    <row r="18" spans="1:25" ht="11.25" customHeight="1">
      <c r="A18" s="38" t="s">
        <v>17</v>
      </c>
      <c r="B18" s="72">
        <f>93364+1486</f>
        <v>94850</v>
      </c>
      <c r="C18" s="96">
        <f>98330-4744-907</f>
        <v>92679</v>
      </c>
      <c r="D18" s="94">
        <f>C18*100/B18</f>
        <v>97.71112282551397</v>
      </c>
      <c r="E18" s="124">
        <v>95850</v>
      </c>
      <c r="F18" s="126">
        <v>98330</v>
      </c>
      <c r="G18" s="93">
        <f>F18*100/E18</f>
        <v>102.58737610850287</v>
      </c>
      <c r="H18" s="72">
        <f t="shared" si="0"/>
        <v>66016</v>
      </c>
      <c r="I18" s="96">
        <f t="shared" si="0"/>
        <v>63144</v>
      </c>
      <c r="J18" s="94">
        <f>I18*100/H18</f>
        <v>95.64953950557441</v>
      </c>
      <c r="K18" s="37">
        <f>N18+Q18+T18</f>
        <v>66016</v>
      </c>
      <c r="L18" s="37">
        <f>O18+R18+U18</f>
        <v>63144</v>
      </c>
      <c r="M18" s="93">
        <f>L18*100/K18</f>
        <v>95.64953950557441</v>
      </c>
      <c r="N18" s="37">
        <f>5130+502</f>
        <v>5632</v>
      </c>
      <c r="O18" s="127">
        <v>5940</v>
      </c>
      <c r="P18" s="93">
        <f>O18*100/N18</f>
        <v>105.46875</v>
      </c>
      <c r="Q18" s="37">
        <f>14930+1257</f>
        <v>16187</v>
      </c>
      <c r="R18" s="127">
        <v>15684</v>
      </c>
      <c r="S18" s="93">
        <f>R18*100/Q18</f>
        <v>96.8925681102119</v>
      </c>
      <c r="T18" s="37">
        <f>41718+2479</f>
        <v>44197</v>
      </c>
      <c r="U18" s="127">
        <v>41520</v>
      </c>
      <c r="V18" s="93">
        <f>U18*100/T18</f>
        <v>93.94302780731724</v>
      </c>
      <c r="W18" s="37">
        <f t="shared" si="1"/>
        <v>29834</v>
      </c>
      <c r="X18" s="37">
        <f t="shared" si="1"/>
        <v>35186</v>
      </c>
      <c r="Y18" s="100">
        <f>X18*100/W18</f>
        <v>117.93926392706308</v>
      </c>
    </row>
    <row r="19" spans="1:25" ht="11.25" customHeight="1">
      <c r="A19" s="38" t="s">
        <v>18</v>
      </c>
      <c r="B19" s="72">
        <v>59329</v>
      </c>
      <c r="C19" s="96">
        <f>69994-2016-907</f>
        <v>67071</v>
      </c>
      <c r="D19" s="94">
        <f>C19*100/B19</f>
        <v>113.04926764314247</v>
      </c>
      <c r="E19" s="124">
        <f>29693+32036</f>
        <v>61729</v>
      </c>
      <c r="F19" s="126">
        <v>69994</v>
      </c>
      <c r="G19" s="93">
        <f>F19*100/E19</f>
        <v>113.3891687861459</v>
      </c>
      <c r="H19" s="72">
        <f t="shared" si="0"/>
        <v>62094</v>
      </c>
      <c r="I19" s="96">
        <f t="shared" si="0"/>
        <v>62352</v>
      </c>
      <c r="J19" s="94">
        <f>I19*100/H19</f>
        <v>100.41549908203692</v>
      </c>
      <c r="K19" s="37">
        <f>N19+Q19+T19</f>
        <v>62094</v>
      </c>
      <c r="L19" s="37">
        <f>O19+R19+U19</f>
        <v>62352</v>
      </c>
      <c r="M19" s="93">
        <f>L19*100/K19</f>
        <v>100.41549908203692</v>
      </c>
      <c r="N19" s="37">
        <f>1543+2119</f>
        <v>3662</v>
      </c>
      <c r="O19" s="127">
        <v>4598</v>
      </c>
      <c r="P19" s="93">
        <f>O19*100/N19</f>
        <v>125.5598033861278</v>
      </c>
      <c r="Q19" s="37">
        <f>3109+6182</f>
        <v>9291</v>
      </c>
      <c r="R19" s="127">
        <v>9930</v>
      </c>
      <c r="S19" s="93">
        <f>R19*100/Q19</f>
        <v>106.87762350661932</v>
      </c>
      <c r="T19" s="37">
        <f>23715+25426</f>
        <v>49141</v>
      </c>
      <c r="U19" s="127">
        <v>47824</v>
      </c>
      <c r="V19" s="93">
        <f>U19*100/T19</f>
        <v>97.31995685883479</v>
      </c>
      <c r="W19" s="37">
        <f t="shared" si="1"/>
        <v>-365</v>
      </c>
      <c r="X19" s="37">
        <f t="shared" si="1"/>
        <v>7642</v>
      </c>
      <c r="Y19" s="99" t="s">
        <v>15</v>
      </c>
    </row>
    <row r="20" spans="1:25" ht="11.25" customHeight="1">
      <c r="A20" s="39" t="s">
        <v>66</v>
      </c>
      <c r="B20" s="74">
        <f>91880+3977</f>
        <v>95857</v>
      </c>
      <c r="C20" s="88">
        <f>99559-4603</f>
        <v>94956</v>
      </c>
      <c r="D20" s="89">
        <f>C20*100/B20</f>
        <v>99.0600582117112</v>
      </c>
      <c r="E20" s="125">
        <f>56910+40947</f>
        <v>97857</v>
      </c>
      <c r="F20" s="88">
        <v>99559</v>
      </c>
      <c r="G20" s="91">
        <f>F20*100/E20</f>
        <v>101.7392726120768</v>
      </c>
      <c r="H20" s="74">
        <f t="shared" si="0"/>
        <v>79080</v>
      </c>
      <c r="I20" s="88">
        <f t="shared" si="0"/>
        <v>73841</v>
      </c>
      <c r="J20" s="89">
        <f>I20*100/H20</f>
        <v>93.37506322711178</v>
      </c>
      <c r="K20" s="40">
        <f>N20+Q20+T20</f>
        <v>79080</v>
      </c>
      <c r="L20" s="40">
        <f>O20+R20+U20</f>
        <v>73841</v>
      </c>
      <c r="M20" s="91">
        <f>L20*100/K20</f>
        <v>93.37506322711178</v>
      </c>
      <c r="N20" s="40">
        <f>3300+3200</f>
        <v>6500</v>
      </c>
      <c r="O20" s="40">
        <v>5630</v>
      </c>
      <c r="P20" s="91">
        <f>O20*100/N20</f>
        <v>86.61538461538461</v>
      </c>
      <c r="Q20" s="40">
        <f>9730+14265</f>
        <v>23995</v>
      </c>
      <c r="R20" s="40">
        <v>21174</v>
      </c>
      <c r="S20" s="91">
        <f>R20*100/Q20</f>
        <v>88.24338403834132</v>
      </c>
      <c r="T20" s="40">
        <f>12540+36045</f>
        <v>48585</v>
      </c>
      <c r="U20" s="40">
        <v>47037</v>
      </c>
      <c r="V20" s="91">
        <f>U20*100/T20</f>
        <v>96.81383142945353</v>
      </c>
      <c r="W20" s="40">
        <f t="shared" si="1"/>
        <v>18777</v>
      </c>
      <c r="X20" s="40">
        <f t="shared" si="1"/>
        <v>25718</v>
      </c>
      <c r="Y20" s="102">
        <f>X20*100/W20</f>
        <v>136.96543643819567</v>
      </c>
    </row>
    <row r="21" spans="1:25" ht="11.25" customHeight="1">
      <c r="A21" s="41" t="s">
        <v>19</v>
      </c>
      <c r="B21" s="75"/>
      <c r="C21" s="76"/>
      <c r="D21" s="42"/>
      <c r="E21" s="43"/>
      <c r="F21" s="44"/>
      <c r="G21" s="45"/>
      <c r="H21" s="73"/>
      <c r="I21" s="44"/>
      <c r="J21" s="45"/>
      <c r="K21" s="46"/>
      <c r="L21" s="46"/>
      <c r="M21" s="45"/>
      <c r="N21" s="46"/>
      <c r="O21" s="46"/>
      <c r="P21" s="45"/>
      <c r="Q21" s="46"/>
      <c r="R21" s="46"/>
      <c r="S21" s="45"/>
      <c r="T21" s="46"/>
      <c r="U21" s="46"/>
      <c r="V21" s="45"/>
      <c r="W21" s="46"/>
      <c r="X21" s="46"/>
      <c r="Y21" s="47"/>
    </row>
    <row r="22" spans="1:25" ht="11.25" customHeight="1" thickBot="1">
      <c r="A22" s="48" t="s">
        <v>20</v>
      </c>
      <c r="B22" s="68">
        <f>SUM(B15:B21)</f>
        <v>333281</v>
      </c>
      <c r="C22" s="57">
        <f>SUM(C15:C21)</f>
        <v>336565</v>
      </c>
      <c r="D22" s="52">
        <f>C22*100/B22</f>
        <v>100.985354700688</v>
      </c>
      <c r="E22" s="49">
        <f>SUM(E15:E21)</f>
        <v>339681</v>
      </c>
      <c r="F22" s="50">
        <f>SUM(F15:F21)</f>
        <v>352720</v>
      </c>
      <c r="G22" s="51">
        <f>F22*100/E22</f>
        <v>103.83860151141806</v>
      </c>
      <c r="H22" s="68">
        <f>SUM(H15:H21)</f>
        <v>271773</v>
      </c>
      <c r="I22" s="57">
        <f>SUM(I15:I21)</f>
        <v>258501</v>
      </c>
      <c r="J22" s="52">
        <f>I22*100/H22</f>
        <v>95.11651267785983</v>
      </c>
      <c r="K22" s="53">
        <f>SUM(K15:K21)</f>
        <v>271773</v>
      </c>
      <c r="L22" s="53">
        <f>SUM(L15:L21)</f>
        <v>258501</v>
      </c>
      <c r="M22" s="52">
        <f aca="true" t="shared" si="2" ref="M22:M32">L22*100/K22</f>
        <v>95.11651267785983</v>
      </c>
      <c r="N22" s="53">
        <f>SUM(N15:N21)</f>
        <v>23299</v>
      </c>
      <c r="O22" s="49">
        <f>SUM(O15:O21)</f>
        <v>24236</v>
      </c>
      <c r="P22" s="51">
        <f>O22*100/N22</f>
        <v>104.02163182969227</v>
      </c>
      <c r="Q22" s="53">
        <f>SUM(Q15:Q21)</f>
        <v>63517</v>
      </c>
      <c r="R22" s="49">
        <f>SUM(R15:R21)</f>
        <v>57673</v>
      </c>
      <c r="S22" s="51">
        <f aca="true" t="shared" si="3" ref="S22:S32">R22*100/Q22</f>
        <v>90.79931356959554</v>
      </c>
      <c r="T22" s="53">
        <f>SUM(T15:T21)</f>
        <v>184957</v>
      </c>
      <c r="U22" s="49">
        <f>SUM(U15:U21)</f>
        <v>176592</v>
      </c>
      <c r="V22" s="51">
        <f>U22*100/T22</f>
        <v>95.47732716252968</v>
      </c>
      <c r="W22" s="53">
        <f aca="true" t="shared" si="4" ref="W22:W32">E22-K22</f>
        <v>67908</v>
      </c>
      <c r="X22" s="53">
        <f>SUM(X15:X21)</f>
        <v>94219</v>
      </c>
      <c r="Y22" s="54">
        <f>X22*100/W22</f>
        <v>138.74506685515698</v>
      </c>
    </row>
    <row r="23" spans="1:25" ht="11.25" customHeight="1">
      <c r="A23" s="36" t="s">
        <v>21</v>
      </c>
      <c r="B23" s="72">
        <v>105706</v>
      </c>
      <c r="C23" s="96">
        <f>110043+4479</f>
        <v>114522</v>
      </c>
      <c r="D23" s="94">
        <f>C23*100/B23</f>
        <v>108.34011314400318</v>
      </c>
      <c r="E23" s="124">
        <v>109865</v>
      </c>
      <c r="F23" s="96">
        <v>110043</v>
      </c>
      <c r="G23" s="94">
        <f>F23*100/E23</f>
        <v>100.16201702088928</v>
      </c>
      <c r="H23" s="72">
        <f aca="true" t="shared" si="5" ref="H23:I26">K23</f>
        <v>82085</v>
      </c>
      <c r="I23" s="96">
        <f t="shared" si="5"/>
        <v>75511</v>
      </c>
      <c r="J23" s="94">
        <f>I23*100/H23</f>
        <v>91.99122860449533</v>
      </c>
      <c r="K23" s="37">
        <f aca="true" t="shared" si="6" ref="K23:K32">N23+Q23+T23</f>
        <v>82085</v>
      </c>
      <c r="L23" s="37">
        <f aca="true" t="shared" si="7" ref="L23:L32">O23+R23+U23</f>
        <v>75511</v>
      </c>
      <c r="M23" s="94">
        <f t="shared" si="2"/>
        <v>91.99122860449533</v>
      </c>
      <c r="N23" s="37">
        <v>10037</v>
      </c>
      <c r="O23" s="37">
        <v>10070</v>
      </c>
      <c r="P23" s="94">
        <f>O23*100/N23</f>
        <v>100.32878350104613</v>
      </c>
      <c r="Q23" s="37">
        <v>5668</v>
      </c>
      <c r="R23" s="37">
        <v>3397</v>
      </c>
      <c r="S23" s="94">
        <f t="shared" si="3"/>
        <v>59.93295695130558</v>
      </c>
      <c r="T23" s="37">
        <v>66380</v>
      </c>
      <c r="U23" s="37">
        <v>62044</v>
      </c>
      <c r="V23" s="94">
        <f>U23*100/T23</f>
        <v>93.46791202169328</v>
      </c>
      <c r="W23" s="37">
        <f t="shared" si="4"/>
        <v>27780</v>
      </c>
      <c r="X23" s="37">
        <f aca="true" t="shared" si="8" ref="X23:X32">F23-L23</f>
        <v>34532</v>
      </c>
      <c r="Y23" s="101">
        <f>X23*100/W23</f>
        <v>124.30525557955363</v>
      </c>
    </row>
    <row r="24" spans="1:25" ht="11.25" customHeight="1">
      <c r="A24" s="38" t="s">
        <v>67</v>
      </c>
      <c r="B24" s="72">
        <f>42060-1254</f>
        <v>40806</v>
      </c>
      <c r="C24" s="96">
        <f>43756+308</f>
        <v>44064</v>
      </c>
      <c r="D24" s="94">
        <f>C24*100/B24</f>
        <v>107.98411998235554</v>
      </c>
      <c r="E24" s="124">
        <v>42106</v>
      </c>
      <c r="F24" s="126">
        <v>43756</v>
      </c>
      <c r="G24" s="93">
        <f>F24*100/E24</f>
        <v>103.9186814230751</v>
      </c>
      <c r="H24" s="72">
        <f t="shared" si="5"/>
        <v>67350</v>
      </c>
      <c r="I24" s="96">
        <f t="shared" si="5"/>
        <v>64052</v>
      </c>
      <c r="J24" s="94">
        <f>I24*100/H24</f>
        <v>95.10319227913882</v>
      </c>
      <c r="K24" s="37">
        <f t="shared" si="6"/>
        <v>67350</v>
      </c>
      <c r="L24" s="37">
        <f t="shared" si="7"/>
        <v>64052</v>
      </c>
      <c r="M24" s="93">
        <f t="shared" si="2"/>
        <v>95.10319227913882</v>
      </c>
      <c r="N24" s="37">
        <v>9500</v>
      </c>
      <c r="O24" s="127">
        <v>9532</v>
      </c>
      <c r="P24" s="93">
        <f>O24*100/N24</f>
        <v>100.33684210526316</v>
      </c>
      <c r="Q24" s="37">
        <v>12220</v>
      </c>
      <c r="R24" s="37">
        <v>11238</v>
      </c>
      <c r="S24" s="93">
        <f t="shared" si="3"/>
        <v>91.96399345335516</v>
      </c>
      <c r="T24" s="37">
        <v>45630</v>
      </c>
      <c r="U24" s="127">
        <v>43282</v>
      </c>
      <c r="V24" s="93">
        <f>U24*100/T24</f>
        <v>94.85426254657024</v>
      </c>
      <c r="W24" s="37">
        <f t="shared" si="4"/>
        <v>-25244</v>
      </c>
      <c r="X24" s="37">
        <f t="shared" si="8"/>
        <v>-20296</v>
      </c>
      <c r="Y24" s="95" t="s">
        <v>15</v>
      </c>
    </row>
    <row r="25" spans="1:25" ht="11.25" customHeight="1">
      <c r="A25" s="38" t="s">
        <v>68</v>
      </c>
      <c r="B25" s="72">
        <f>1785+1625</f>
        <v>3410</v>
      </c>
      <c r="C25" s="96">
        <f>4054</f>
        <v>4054</v>
      </c>
      <c r="D25" s="94">
        <f>C25*100/B25</f>
        <v>118.88563049853373</v>
      </c>
      <c r="E25" s="124">
        <v>3710</v>
      </c>
      <c r="F25" s="126">
        <v>4054</v>
      </c>
      <c r="G25" s="94">
        <f>F25*100/E25</f>
        <v>109.2722371967655</v>
      </c>
      <c r="H25" s="72">
        <f t="shared" si="5"/>
        <v>37604</v>
      </c>
      <c r="I25" s="96">
        <f t="shared" si="5"/>
        <v>36891</v>
      </c>
      <c r="J25" s="94">
        <f>I25*100/H25</f>
        <v>98.10392511434954</v>
      </c>
      <c r="K25" s="37">
        <f t="shared" si="6"/>
        <v>37604</v>
      </c>
      <c r="L25" s="37">
        <f t="shared" si="7"/>
        <v>36891</v>
      </c>
      <c r="M25" s="94">
        <f t="shared" si="2"/>
        <v>98.10392511434954</v>
      </c>
      <c r="N25" s="37">
        <v>4600</v>
      </c>
      <c r="O25" s="37">
        <v>4380</v>
      </c>
      <c r="P25" s="94">
        <f>O25*100/N25</f>
        <v>95.21739130434783</v>
      </c>
      <c r="Q25" s="37">
        <v>3272</v>
      </c>
      <c r="R25" s="37">
        <v>2990</v>
      </c>
      <c r="S25" s="94">
        <f t="shared" si="3"/>
        <v>91.38141809290954</v>
      </c>
      <c r="T25" s="37">
        <v>29732</v>
      </c>
      <c r="U25" s="37">
        <v>29521</v>
      </c>
      <c r="V25" s="94">
        <f>U25*100/T25</f>
        <v>99.2903269204897</v>
      </c>
      <c r="W25" s="37">
        <f t="shared" si="4"/>
        <v>-33894</v>
      </c>
      <c r="X25" s="37">
        <f t="shared" si="8"/>
        <v>-32837</v>
      </c>
      <c r="Y25" s="95" t="s">
        <v>15</v>
      </c>
    </row>
    <row r="26" spans="1:25" ht="11.25" customHeight="1">
      <c r="A26" s="18" t="s">
        <v>69</v>
      </c>
      <c r="B26" s="133">
        <v>0</v>
      </c>
      <c r="C26" s="136">
        <v>0</v>
      </c>
      <c r="D26" s="98" t="s">
        <v>15</v>
      </c>
      <c r="E26" s="124">
        <v>0</v>
      </c>
      <c r="F26" s="126">
        <v>1</v>
      </c>
      <c r="G26" s="97" t="s">
        <v>15</v>
      </c>
      <c r="H26" s="72">
        <f t="shared" si="5"/>
        <v>24</v>
      </c>
      <c r="I26" s="96">
        <f t="shared" si="5"/>
        <v>1</v>
      </c>
      <c r="J26" s="94">
        <f>I26*100/H26</f>
        <v>4.166666666666667</v>
      </c>
      <c r="K26" s="37">
        <f t="shared" si="6"/>
        <v>24</v>
      </c>
      <c r="L26" s="37">
        <f t="shared" si="7"/>
        <v>1</v>
      </c>
      <c r="M26" s="94">
        <f t="shared" si="2"/>
        <v>4.166666666666667</v>
      </c>
      <c r="N26" s="37">
        <v>0</v>
      </c>
      <c r="O26" s="37">
        <v>0</v>
      </c>
      <c r="P26" s="97" t="s">
        <v>15</v>
      </c>
      <c r="Q26" s="37">
        <v>24</v>
      </c>
      <c r="R26" s="37">
        <v>1</v>
      </c>
      <c r="S26" s="94">
        <f t="shared" si="3"/>
        <v>4.166666666666667</v>
      </c>
      <c r="T26" s="37">
        <v>0</v>
      </c>
      <c r="U26" s="37">
        <v>0</v>
      </c>
      <c r="V26" s="97" t="s">
        <v>15</v>
      </c>
      <c r="W26" s="37">
        <f t="shared" si="4"/>
        <v>-24</v>
      </c>
      <c r="X26" s="37">
        <f t="shared" si="8"/>
        <v>0</v>
      </c>
      <c r="Y26" s="95" t="s">
        <v>15</v>
      </c>
    </row>
    <row r="27" spans="1:25" ht="11.25" customHeight="1">
      <c r="A27" s="38" t="s">
        <v>57</v>
      </c>
      <c r="B27" s="72">
        <v>79981</v>
      </c>
      <c r="C27" s="96">
        <f>142014-42389-1691</f>
        <v>97934</v>
      </c>
      <c r="D27" s="94">
        <f aca="true" t="shared" si="9" ref="D27:D32">C27*100/B27</f>
        <v>122.44658106300247</v>
      </c>
      <c r="E27" s="124">
        <v>139845</v>
      </c>
      <c r="F27" s="135">
        <v>142014</v>
      </c>
      <c r="G27" s="93">
        <f aca="true" t="shared" si="10" ref="G27:G32">F27*100/E27</f>
        <v>101.5510028960635</v>
      </c>
      <c r="H27" s="72">
        <v>0</v>
      </c>
      <c r="I27" s="96">
        <v>0</v>
      </c>
      <c r="J27" s="97" t="s">
        <v>15</v>
      </c>
      <c r="K27" s="37">
        <f t="shared" si="6"/>
        <v>53229</v>
      </c>
      <c r="L27" s="37">
        <f t="shared" si="7"/>
        <v>42389</v>
      </c>
      <c r="M27" s="94">
        <f t="shared" si="2"/>
        <v>79.63516128426234</v>
      </c>
      <c r="N27" s="55">
        <v>11647</v>
      </c>
      <c r="O27" s="55">
        <v>11834</v>
      </c>
      <c r="P27" s="94">
        <f aca="true" t="shared" si="11" ref="P27:P32">O27*100/N27</f>
        <v>101.60556366446295</v>
      </c>
      <c r="Q27" s="55">
        <v>24864</v>
      </c>
      <c r="R27" s="55">
        <v>23250</v>
      </c>
      <c r="S27" s="94">
        <f t="shared" si="3"/>
        <v>93.50868725868726</v>
      </c>
      <c r="T27" s="55">
        <v>16718</v>
      </c>
      <c r="U27" s="55">
        <v>7305</v>
      </c>
      <c r="V27" s="94">
        <f aca="true" t="shared" si="12" ref="V27:V32">U27*100/T27</f>
        <v>43.69541811221438</v>
      </c>
      <c r="W27" s="55">
        <f t="shared" si="4"/>
        <v>86616</v>
      </c>
      <c r="X27" s="37">
        <f t="shared" si="8"/>
        <v>99625</v>
      </c>
      <c r="Y27" s="101">
        <f>X27*100/W27</f>
        <v>115.01916505033712</v>
      </c>
    </row>
    <row r="28" spans="1:25" ht="11.25" customHeight="1">
      <c r="A28" s="38" t="s">
        <v>55</v>
      </c>
      <c r="B28" s="72">
        <v>570</v>
      </c>
      <c r="C28" s="96">
        <f>979-4</f>
        <v>975</v>
      </c>
      <c r="D28" s="94">
        <f t="shared" si="9"/>
        <v>171.05263157894737</v>
      </c>
      <c r="E28" s="124">
        <v>570</v>
      </c>
      <c r="F28" s="96">
        <v>979</v>
      </c>
      <c r="G28" s="93">
        <f t="shared" si="10"/>
        <v>171.75438596491227</v>
      </c>
      <c r="H28" s="72">
        <f aca="true" t="shared" si="13" ref="H28:I32">K28</f>
        <v>422</v>
      </c>
      <c r="I28" s="96">
        <f t="shared" si="13"/>
        <v>373</v>
      </c>
      <c r="J28" s="94">
        <f>I28*100/H28</f>
        <v>88.38862559241706</v>
      </c>
      <c r="K28" s="37">
        <f t="shared" si="6"/>
        <v>422</v>
      </c>
      <c r="L28" s="37">
        <f t="shared" si="7"/>
        <v>373</v>
      </c>
      <c r="M28" s="93">
        <f t="shared" si="2"/>
        <v>88.38862559241706</v>
      </c>
      <c r="N28" s="55">
        <v>90</v>
      </c>
      <c r="O28" s="55">
        <v>125</v>
      </c>
      <c r="P28" s="93">
        <f t="shared" si="11"/>
        <v>138.88888888888889</v>
      </c>
      <c r="Q28" s="55">
        <v>60</v>
      </c>
      <c r="R28" s="55">
        <v>53</v>
      </c>
      <c r="S28" s="93">
        <f t="shared" si="3"/>
        <v>88.33333333333333</v>
      </c>
      <c r="T28" s="55">
        <v>272</v>
      </c>
      <c r="U28" s="55">
        <v>195</v>
      </c>
      <c r="V28" s="94">
        <f t="shared" si="12"/>
        <v>71.69117647058823</v>
      </c>
      <c r="W28" s="55">
        <f t="shared" si="4"/>
        <v>148</v>
      </c>
      <c r="X28" s="37">
        <f t="shared" si="8"/>
        <v>606</v>
      </c>
      <c r="Y28" s="101">
        <f>X28*100/W28</f>
        <v>409.4594594594595</v>
      </c>
    </row>
    <row r="29" spans="1:25" ht="11.25" customHeight="1">
      <c r="A29" s="38" t="s">
        <v>54</v>
      </c>
      <c r="B29" s="72">
        <v>1206</v>
      </c>
      <c r="C29" s="96">
        <f>1260-2</f>
        <v>1258</v>
      </c>
      <c r="D29" s="94">
        <f t="shared" si="9"/>
        <v>104.3117744610282</v>
      </c>
      <c r="E29" s="124">
        <v>1206</v>
      </c>
      <c r="F29" s="135">
        <v>1260</v>
      </c>
      <c r="G29" s="93">
        <f t="shared" si="10"/>
        <v>104.4776119402985</v>
      </c>
      <c r="H29" s="72">
        <f t="shared" si="13"/>
        <v>667</v>
      </c>
      <c r="I29" s="96">
        <f t="shared" si="13"/>
        <v>326</v>
      </c>
      <c r="J29" s="94">
        <f>I29*100/H29</f>
        <v>48.87556221889056</v>
      </c>
      <c r="K29" s="37">
        <f t="shared" si="6"/>
        <v>667</v>
      </c>
      <c r="L29" s="37">
        <f t="shared" si="7"/>
        <v>326</v>
      </c>
      <c r="M29" s="93">
        <f t="shared" si="2"/>
        <v>48.87556221889056</v>
      </c>
      <c r="N29" s="55">
        <v>96</v>
      </c>
      <c r="O29" s="55">
        <v>122</v>
      </c>
      <c r="P29" s="93">
        <f t="shared" si="11"/>
        <v>127.08333333333333</v>
      </c>
      <c r="Q29" s="55">
        <v>81</v>
      </c>
      <c r="R29" s="55">
        <v>31</v>
      </c>
      <c r="S29" s="93">
        <f t="shared" si="3"/>
        <v>38.27160493827161</v>
      </c>
      <c r="T29" s="55">
        <v>490</v>
      </c>
      <c r="U29" s="55">
        <v>173</v>
      </c>
      <c r="V29" s="94">
        <f t="shared" si="12"/>
        <v>35.30612244897959</v>
      </c>
      <c r="W29" s="37">
        <f t="shared" si="4"/>
        <v>539</v>
      </c>
      <c r="X29" s="37">
        <f t="shared" si="8"/>
        <v>934</v>
      </c>
      <c r="Y29" s="95">
        <f>X29*100/W29</f>
        <v>173.28385899814472</v>
      </c>
    </row>
    <row r="30" spans="1:25" ht="11.25" customHeight="1">
      <c r="A30" s="38" t="s">
        <v>22</v>
      </c>
      <c r="B30" s="72">
        <v>1200</v>
      </c>
      <c r="C30" s="96">
        <f>1418-17</f>
        <v>1401</v>
      </c>
      <c r="D30" s="94">
        <f t="shared" si="9"/>
        <v>116.75</v>
      </c>
      <c r="E30" s="124">
        <v>1200</v>
      </c>
      <c r="F30" s="135">
        <v>1418</v>
      </c>
      <c r="G30" s="93">
        <f t="shared" si="10"/>
        <v>118.16666666666667</v>
      </c>
      <c r="H30" s="72">
        <f t="shared" si="13"/>
        <v>10697</v>
      </c>
      <c r="I30" s="96">
        <f t="shared" si="13"/>
        <v>10620</v>
      </c>
      <c r="J30" s="94">
        <f>I30*100/H30</f>
        <v>99.28017201084417</v>
      </c>
      <c r="K30" s="37">
        <f t="shared" si="6"/>
        <v>10697</v>
      </c>
      <c r="L30" s="37">
        <f t="shared" si="7"/>
        <v>10620</v>
      </c>
      <c r="M30" s="93">
        <f t="shared" si="2"/>
        <v>99.28017201084417</v>
      </c>
      <c r="N30" s="55">
        <v>5540</v>
      </c>
      <c r="O30" s="55">
        <v>6465</v>
      </c>
      <c r="P30" s="93">
        <f t="shared" si="11"/>
        <v>116.69675090252707</v>
      </c>
      <c r="Q30" s="55">
        <v>1097</v>
      </c>
      <c r="R30" s="55">
        <v>905</v>
      </c>
      <c r="S30" s="93">
        <f t="shared" si="3"/>
        <v>82.49772105742936</v>
      </c>
      <c r="T30" s="55">
        <v>4060</v>
      </c>
      <c r="U30" s="55">
        <v>3250</v>
      </c>
      <c r="V30" s="94">
        <f t="shared" si="12"/>
        <v>80.04926108374384</v>
      </c>
      <c r="W30" s="37">
        <f t="shared" si="4"/>
        <v>-9497</v>
      </c>
      <c r="X30" s="37">
        <f t="shared" si="8"/>
        <v>-9202</v>
      </c>
      <c r="Y30" s="95" t="s">
        <v>15</v>
      </c>
    </row>
    <row r="31" spans="1:25" ht="11.25" customHeight="1">
      <c r="A31" s="38" t="s">
        <v>23</v>
      </c>
      <c r="B31" s="72">
        <v>3870</v>
      </c>
      <c r="C31" s="96">
        <f>3863-145</f>
        <v>3718</v>
      </c>
      <c r="D31" s="94">
        <f t="shared" si="9"/>
        <v>96.07235142118863</v>
      </c>
      <c r="E31" s="124">
        <v>3870</v>
      </c>
      <c r="F31" s="135">
        <v>3863</v>
      </c>
      <c r="G31" s="93">
        <f t="shared" si="10"/>
        <v>99.81912144702842</v>
      </c>
      <c r="H31" s="72">
        <f t="shared" si="13"/>
        <v>2481</v>
      </c>
      <c r="I31" s="96">
        <f t="shared" si="13"/>
        <v>725</v>
      </c>
      <c r="J31" s="94">
        <f>I31*100/H31</f>
        <v>29.222087867795246</v>
      </c>
      <c r="K31" s="37">
        <f t="shared" si="6"/>
        <v>2481</v>
      </c>
      <c r="L31" s="37">
        <f t="shared" si="7"/>
        <v>725</v>
      </c>
      <c r="M31" s="93">
        <f t="shared" si="2"/>
        <v>29.222087867795246</v>
      </c>
      <c r="N31" s="55">
        <v>460</v>
      </c>
      <c r="O31" s="55">
        <v>380</v>
      </c>
      <c r="P31" s="93">
        <f t="shared" si="11"/>
        <v>82.6086956521739</v>
      </c>
      <c r="Q31" s="55">
        <v>551</v>
      </c>
      <c r="R31" s="55">
        <v>238</v>
      </c>
      <c r="S31" s="93">
        <f t="shared" si="3"/>
        <v>43.19419237749546</v>
      </c>
      <c r="T31" s="55">
        <v>1470</v>
      </c>
      <c r="U31" s="55">
        <v>107</v>
      </c>
      <c r="V31" s="94">
        <f t="shared" si="12"/>
        <v>7.27891156462585</v>
      </c>
      <c r="W31" s="55">
        <f t="shared" si="4"/>
        <v>1389</v>
      </c>
      <c r="X31" s="37">
        <f t="shared" si="8"/>
        <v>3138</v>
      </c>
      <c r="Y31" s="95">
        <f>X31*100/W31</f>
        <v>225.91792656587472</v>
      </c>
    </row>
    <row r="32" spans="1:25" ht="11.25" customHeight="1">
      <c r="A32" s="39" t="s">
        <v>24</v>
      </c>
      <c r="B32" s="74">
        <v>149392</v>
      </c>
      <c r="C32" s="88">
        <f>214117-11699</f>
        <v>202418</v>
      </c>
      <c r="D32" s="89">
        <f t="shared" si="9"/>
        <v>135.49453786012637</v>
      </c>
      <c r="E32" s="125">
        <v>150400</v>
      </c>
      <c r="F32" s="134">
        <v>214117</v>
      </c>
      <c r="G32" s="91">
        <f t="shared" si="10"/>
        <v>142.3650265957447</v>
      </c>
      <c r="H32" s="74">
        <f t="shared" si="13"/>
        <v>44445</v>
      </c>
      <c r="I32" s="88">
        <f t="shared" si="13"/>
        <v>51166</v>
      </c>
      <c r="J32" s="89">
        <f>I32*100/H32</f>
        <v>115.12206097423783</v>
      </c>
      <c r="K32" s="40">
        <f t="shared" si="6"/>
        <v>44445</v>
      </c>
      <c r="L32" s="40">
        <f t="shared" si="7"/>
        <v>51166</v>
      </c>
      <c r="M32" s="91">
        <f t="shared" si="2"/>
        <v>115.12206097423783</v>
      </c>
      <c r="N32" s="56">
        <v>15000</v>
      </c>
      <c r="O32" s="56">
        <v>24757</v>
      </c>
      <c r="P32" s="91">
        <f t="shared" si="11"/>
        <v>165.04666666666665</v>
      </c>
      <c r="Q32" s="56">
        <v>5617</v>
      </c>
      <c r="R32" s="56">
        <v>7285</v>
      </c>
      <c r="S32" s="91">
        <f t="shared" si="3"/>
        <v>129.695567028663</v>
      </c>
      <c r="T32" s="56">
        <v>23828</v>
      </c>
      <c r="U32" s="56">
        <v>19124</v>
      </c>
      <c r="V32" s="89">
        <f t="shared" si="12"/>
        <v>80.25851938895417</v>
      </c>
      <c r="W32" s="56">
        <f t="shared" si="4"/>
        <v>105955</v>
      </c>
      <c r="X32" s="40">
        <f t="shared" si="8"/>
        <v>162951</v>
      </c>
      <c r="Y32" s="92">
        <f>X32*100/W32</f>
        <v>153.79264782218866</v>
      </c>
    </row>
    <row r="33" spans="1:25" ht="11.25" customHeight="1">
      <c r="A33" s="41" t="s">
        <v>25</v>
      </c>
      <c r="B33" s="75"/>
      <c r="C33" s="76"/>
      <c r="D33" s="42"/>
      <c r="E33" s="43"/>
      <c r="F33" s="44"/>
      <c r="G33" s="45"/>
      <c r="H33" s="73"/>
      <c r="I33" s="44"/>
      <c r="J33" s="45"/>
      <c r="K33" s="46"/>
      <c r="L33" s="46"/>
      <c r="M33" s="45"/>
      <c r="N33" s="46"/>
      <c r="O33" s="46"/>
      <c r="P33" s="45"/>
      <c r="Q33" s="46"/>
      <c r="R33" s="46"/>
      <c r="S33" s="45"/>
      <c r="T33" s="46"/>
      <c r="U33" s="46"/>
      <c r="V33" s="45"/>
      <c r="W33" s="46"/>
      <c r="X33" s="46"/>
      <c r="Y33" s="47"/>
    </row>
    <row r="34" spans="1:25" ht="11.25" customHeight="1" thickBot="1">
      <c r="A34" s="48" t="s">
        <v>26</v>
      </c>
      <c r="B34" s="68">
        <f>SUM(B23:B33)</f>
        <v>386141</v>
      </c>
      <c r="C34" s="57">
        <f>SUM(C23:C33)</f>
        <v>470344</v>
      </c>
      <c r="D34" s="52">
        <f>C34*100/B34</f>
        <v>121.8062831970705</v>
      </c>
      <c r="E34" s="49">
        <f>SUM(E23:E33)</f>
        <v>452772</v>
      </c>
      <c r="F34" s="57">
        <f>SUM(F23:F33)</f>
        <v>521505</v>
      </c>
      <c r="G34" s="52">
        <f>F34*100/E34</f>
        <v>115.18048819273277</v>
      </c>
      <c r="H34" s="68">
        <f>SUM(H23:H33)</f>
        <v>245775</v>
      </c>
      <c r="I34" s="57">
        <f>SUM(I23:I33)</f>
        <v>239665</v>
      </c>
      <c r="J34" s="52">
        <f>I34*100/H34</f>
        <v>97.51398636964703</v>
      </c>
      <c r="K34" s="53">
        <f>SUM(K23:K33)</f>
        <v>299004</v>
      </c>
      <c r="L34" s="53">
        <f>SUM(L23:L33)</f>
        <v>282054</v>
      </c>
      <c r="M34" s="52">
        <f>L34*100/K34</f>
        <v>94.3311795159931</v>
      </c>
      <c r="N34" s="53">
        <f>SUM(N23:N33)</f>
        <v>56970</v>
      </c>
      <c r="O34" s="53">
        <f>SUM(O23:O33)</f>
        <v>67665</v>
      </c>
      <c r="P34" s="52">
        <f>O34*100/N34</f>
        <v>118.77303844128488</v>
      </c>
      <c r="Q34" s="53">
        <f>SUM(Q23:Q33)</f>
        <v>53454</v>
      </c>
      <c r="R34" s="53">
        <f>SUM(R23:R33)</f>
        <v>49388</v>
      </c>
      <c r="S34" s="52">
        <f>R34*100/Q34</f>
        <v>92.39345979720882</v>
      </c>
      <c r="T34" s="53">
        <f>SUM(T23:T33)</f>
        <v>188580</v>
      </c>
      <c r="U34" s="53">
        <f>SUM(U23:U33)</f>
        <v>165001</v>
      </c>
      <c r="V34" s="52">
        <f>U34*100/T34</f>
        <v>87.49655318697636</v>
      </c>
      <c r="W34" s="53">
        <f>E34-K34</f>
        <v>153768</v>
      </c>
      <c r="X34" s="53">
        <f>SUM(X23:X33)</f>
        <v>239451</v>
      </c>
      <c r="Y34" s="58">
        <f>X34*100/W34</f>
        <v>155.7222569065085</v>
      </c>
    </row>
    <row r="35" spans="1:25" ht="11.25" customHeight="1">
      <c r="A35" s="36" t="s">
        <v>53</v>
      </c>
      <c r="B35" s="72">
        <v>550284</v>
      </c>
      <c r="C35" s="96">
        <v>615285</v>
      </c>
      <c r="D35" s="94">
        <f>C35*100/B35</f>
        <v>111.8122642126611</v>
      </c>
      <c r="E35" s="124">
        <v>1462588</v>
      </c>
      <c r="F35" s="135">
        <v>1484026</v>
      </c>
      <c r="G35" s="94">
        <f>F35*100/E35</f>
        <v>101.46575795781177</v>
      </c>
      <c r="H35" s="72">
        <v>0</v>
      </c>
      <c r="I35" s="96">
        <v>0</v>
      </c>
      <c r="J35" s="97" t="s">
        <v>15</v>
      </c>
      <c r="K35" s="37">
        <f aca="true" t="shared" si="14" ref="K35:L38">N35+Q35+T35</f>
        <v>497505</v>
      </c>
      <c r="L35" s="37">
        <f t="shared" si="14"/>
        <v>530355</v>
      </c>
      <c r="M35" s="94">
        <f>L35*100/K35</f>
        <v>106.60294871408327</v>
      </c>
      <c r="N35" s="37">
        <v>0</v>
      </c>
      <c r="O35" s="55">
        <v>0</v>
      </c>
      <c r="P35" s="97" t="s">
        <v>15</v>
      </c>
      <c r="Q35" s="37">
        <v>25000</v>
      </c>
      <c r="R35" s="55">
        <v>7783</v>
      </c>
      <c r="S35" s="94">
        <f>R35*100/Q35</f>
        <v>31.132</v>
      </c>
      <c r="T35" s="37">
        <v>472505</v>
      </c>
      <c r="U35" s="55">
        <v>522572</v>
      </c>
      <c r="V35" s="94">
        <f>U35*100/T35</f>
        <v>110.59607834837726</v>
      </c>
      <c r="W35" s="55">
        <f>E35-K35</f>
        <v>965083</v>
      </c>
      <c r="X35" s="37">
        <f>F35-L35</f>
        <v>953671</v>
      </c>
      <c r="Y35" s="95">
        <f>X35*100/W35</f>
        <v>98.81751103272983</v>
      </c>
    </row>
    <row r="36" spans="1:25" ht="11.25" customHeight="1">
      <c r="A36" s="36" t="s">
        <v>27</v>
      </c>
      <c r="B36" s="72">
        <v>88911</v>
      </c>
      <c r="C36" s="96">
        <v>88975</v>
      </c>
      <c r="D36" s="94">
        <f>C36*100/B36</f>
        <v>100.071982094454</v>
      </c>
      <c r="E36" s="124">
        <v>88911</v>
      </c>
      <c r="F36" s="96">
        <v>88975</v>
      </c>
      <c r="G36" s="94">
        <f>F36*100/E36</f>
        <v>100.071982094454</v>
      </c>
      <c r="H36" s="72">
        <f aca="true" t="shared" si="15" ref="H36:I38">K36</f>
        <v>142080</v>
      </c>
      <c r="I36" s="96">
        <f t="shared" si="15"/>
        <v>125728</v>
      </c>
      <c r="J36" s="94">
        <f>I36*100/H36</f>
        <v>88.490990990991</v>
      </c>
      <c r="K36" s="37">
        <f t="shared" si="14"/>
        <v>142080</v>
      </c>
      <c r="L36" s="37">
        <f t="shared" si="14"/>
        <v>125728</v>
      </c>
      <c r="M36" s="94">
        <f>L36*100/K36</f>
        <v>88.490990990991</v>
      </c>
      <c r="N36" s="37">
        <v>0</v>
      </c>
      <c r="O36" s="37">
        <v>0</v>
      </c>
      <c r="P36" s="97" t="s">
        <v>15</v>
      </c>
      <c r="Q36" s="37">
        <v>0</v>
      </c>
      <c r="R36" s="37">
        <v>5</v>
      </c>
      <c r="S36" s="97" t="s">
        <v>15</v>
      </c>
      <c r="T36" s="37">
        <v>142080</v>
      </c>
      <c r="U36" s="37">
        <v>125723</v>
      </c>
      <c r="V36" s="94">
        <f>U36*100/T36</f>
        <v>88.48747184684684</v>
      </c>
      <c r="W36" s="55">
        <f>E36-K36</f>
        <v>-53169</v>
      </c>
      <c r="X36" s="37">
        <f>F36-L36</f>
        <v>-36753</v>
      </c>
      <c r="Y36" s="95" t="s">
        <v>15</v>
      </c>
    </row>
    <row r="37" spans="1:25" ht="11.25" customHeight="1">
      <c r="A37" s="36" t="s">
        <v>28</v>
      </c>
      <c r="B37" s="72">
        <v>3000</v>
      </c>
      <c r="C37" s="96">
        <v>4625</v>
      </c>
      <c r="D37" s="94">
        <f>C37*100/B37</f>
        <v>154.16666666666666</v>
      </c>
      <c r="E37" s="124">
        <v>3000</v>
      </c>
      <c r="F37" s="96">
        <v>4625</v>
      </c>
      <c r="G37" s="94">
        <f>F37*100/E37</f>
        <v>154.16666666666666</v>
      </c>
      <c r="H37" s="72">
        <f t="shared" si="15"/>
        <v>14000</v>
      </c>
      <c r="I37" s="96">
        <f t="shared" si="15"/>
        <v>13413</v>
      </c>
      <c r="J37" s="94">
        <f>I37*100/H37</f>
        <v>95.80714285714286</v>
      </c>
      <c r="K37" s="37">
        <f t="shared" si="14"/>
        <v>14000</v>
      </c>
      <c r="L37" s="37">
        <f t="shared" si="14"/>
        <v>13413</v>
      </c>
      <c r="M37" s="94">
        <f>L37*100/K37</f>
        <v>95.80714285714286</v>
      </c>
      <c r="N37" s="37">
        <v>0</v>
      </c>
      <c r="O37" s="37">
        <v>0</v>
      </c>
      <c r="P37" s="97" t="s">
        <v>15</v>
      </c>
      <c r="Q37" s="37">
        <v>0</v>
      </c>
      <c r="R37" s="37">
        <v>0</v>
      </c>
      <c r="S37" s="97" t="s">
        <v>15</v>
      </c>
      <c r="T37" s="37">
        <v>14000</v>
      </c>
      <c r="U37" s="37">
        <v>13413</v>
      </c>
      <c r="V37" s="94">
        <f>U37*100/T37</f>
        <v>95.80714285714286</v>
      </c>
      <c r="W37" s="55">
        <f>E37-K37</f>
        <v>-11000</v>
      </c>
      <c r="X37" s="37">
        <f>F37-L37</f>
        <v>-8788</v>
      </c>
      <c r="Y37" s="95" t="s">
        <v>15</v>
      </c>
    </row>
    <row r="38" spans="1:25" ht="11.25" customHeight="1" thickBot="1">
      <c r="A38" s="30" t="s">
        <v>29</v>
      </c>
      <c r="B38" s="68">
        <v>300</v>
      </c>
      <c r="C38" s="57">
        <v>609</v>
      </c>
      <c r="D38" s="52">
        <f>C38*100/B38</f>
        <v>203</v>
      </c>
      <c r="E38" s="49">
        <v>300</v>
      </c>
      <c r="F38" s="57">
        <v>609</v>
      </c>
      <c r="G38" s="52">
        <f>F38*100/E38</f>
        <v>203</v>
      </c>
      <c r="H38" s="68">
        <f t="shared" si="15"/>
        <v>640</v>
      </c>
      <c r="I38" s="57">
        <f t="shared" si="15"/>
        <v>686</v>
      </c>
      <c r="J38" s="52">
        <f>I38*100/H38</f>
        <v>107.1875</v>
      </c>
      <c r="K38" s="53">
        <f t="shared" si="14"/>
        <v>640</v>
      </c>
      <c r="L38" s="53">
        <f t="shared" si="14"/>
        <v>686</v>
      </c>
      <c r="M38" s="52">
        <f>L38*100/K38</f>
        <v>107.1875</v>
      </c>
      <c r="N38" s="53">
        <v>0</v>
      </c>
      <c r="O38" s="53">
        <v>0</v>
      </c>
      <c r="P38" s="104" t="s">
        <v>15</v>
      </c>
      <c r="Q38" s="53">
        <v>640</v>
      </c>
      <c r="R38" s="53">
        <v>686</v>
      </c>
      <c r="S38" s="52">
        <f>R38*100/Q38</f>
        <v>107.1875</v>
      </c>
      <c r="T38" s="53">
        <v>0</v>
      </c>
      <c r="U38" s="53">
        <v>0</v>
      </c>
      <c r="V38" s="104" t="s">
        <v>15</v>
      </c>
      <c r="W38" s="59">
        <f>E38-K38</f>
        <v>-340</v>
      </c>
      <c r="X38" s="53">
        <f>F38-L38</f>
        <v>-77</v>
      </c>
      <c r="Y38" s="58" t="s">
        <v>15</v>
      </c>
    </row>
    <row r="39" spans="1:25" ht="11.25" customHeight="1">
      <c r="A39" s="60" t="s">
        <v>56</v>
      </c>
      <c r="B39" s="71"/>
      <c r="C39" s="107"/>
      <c r="D39" s="111"/>
      <c r="E39" s="61"/>
      <c r="F39" s="61"/>
      <c r="G39" s="103"/>
      <c r="H39" s="77"/>
      <c r="I39" s="109"/>
      <c r="J39" s="103"/>
      <c r="K39" s="61"/>
      <c r="L39" s="61"/>
      <c r="M39" s="103"/>
      <c r="N39" s="61"/>
      <c r="O39" s="61"/>
      <c r="P39" s="103"/>
      <c r="Q39" s="61"/>
      <c r="R39" s="61"/>
      <c r="S39" s="103"/>
      <c r="T39" s="61"/>
      <c r="U39" s="61"/>
      <c r="V39" s="103"/>
      <c r="W39" s="62"/>
      <c r="X39" s="61"/>
      <c r="Y39" s="108"/>
    </row>
    <row r="40" spans="1:25" ht="11.25" customHeight="1" thickBot="1">
      <c r="A40" s="30" t="s">
        <v>74</v>
      </c>
      <c r="B40" s="68">
        <v>0</v>
      </c>
      <c r="C40" s="57">
        <v>68073</v>
      </c>
      <c r="D40" s="104" t="s">
        <v>15</v>
      </c>
      <c r="E40" s="53">
        <v>0</v>
      </c>
      <c r="F40" s="53">
        <v>68073</v>
      </c>
      <c r="G40" s="104" t="s">
        <v>15</v>
      </c>
      <c r="H40" s="78">
        <v>0</v>
      </c>
      <c r="I40" s="110">
        <f>L40</f>
        <v>506</v>
      </c>
      <c r="J40" s="104" t="s">
        <v>15</v>
      </c>
      <c r="K40" s="53">
        <f>N40+Q40+T40</f>
        <v>0</v>
      </c>
      <c r="L40" s="53">
        <f>O40+R40+U40</f>
        <v>506</v>
      </c>
      <c r="M40" s="104" t="s">
        <v>15</v>
      </c>
      <c r="N40" s="53">
        <v>0</v>
      </c>
      <c r="O40" s="53">
        <v>0</v>
      </c>
      <c r="P40" s="104" t="s">
        <v>15</v>
      </c>
      <c r="Q40" s="53">
        <v>0</v>
      </c>
      <c r="R40" s="53">
        <v>506</v>
      </c>
      <c r="S40" s="104" t="s">
        <v>15</v>
      </c>
      <c r="T40" s="53">
        <v>0</v>
      </c>
      <c r="U40" s="53">
        <v>0</v>
      </c>
      <c r="V40" s="104" t="s">
        <v>15</v>
      </c>
      <c r="W40" s="59">
        <f>E40-K40</f>
        <v>0</v>
      </c>
      <c r="X40" s="53">
        <f>F40-L40</f>
        <v>67567</v>
      </c>
      <c r="Y40" s="58" t="s">
        <v>15</v>
      </c>
    </row>
    <row r="41" spans="1:25" ht="11.25" customHeight="1">
      <c r="A41" s="2"/>
      <c r="B41" s="2"/>
      <c r="C41" s="2"/>
      <c r="D41" s="2"/>
      <c r="E41" s="2"/>
      <c r="F41" s="2"/>
      <c r="G41" s="3"/>
      <c r="H41" s="3"/>
      <c r="I41" s="3"/>
      <c r="J41" s="3"/>
      <c r="K41" s="2"/>
      <c r="L41" s="2"/>
      <c r="M41" s="3"/>
      <c r="N41" s="2"/>
      <c r="O41" s="2"/>
      <c r="P41" s="3"/>
      <c r="Q41" s="2"/>
      <c r="R41" s="2"/>
      <c r="S41" s="3"/>
      <c r="T41" s="2"/>
      <c r="U41" s="2"/>
      <c r="V41" s="3"/>
      <c r="W41" s="4"/>
      <c r="X41" s="2"/>
      <c r="Y41" s="3"/>
    </row>
    <row r="42" spans="1:25" ht="11.25" customHeight="1">
      <c r="A42" s="2"/>
      <c r="B42" s="2"/>
      <c r="C42" s="2"/>
      <c r="D42" s="2"/>
      <c r="E42" s="2"/>
      <c r="F42" s="2"/>
      <c r="G42" s="3"/>
      <c r="H42" s="3"/>
      <c r="I42" s="3"/>
      <c r="J42" s="3"/>
      <c r="K42" s="2"/>
      <c r="L42" s="2"/>
      <c r="M42" s="3"/>
      <c r="N42" s="2"/>
      <c r="O42" s="2"/>
      <c r="P42" s="3"/>
      <c r="Q42" s="2"/>
      <c r="R42" s="2"/>
      <c r="S42" s="3"/>
      <c r="T42" s="2"/>
      <c r="U42" s="2"/>
      <c r="V42" s="3"/>
      <c r="W42" s="4"/>
      <c r="X42" s="2"/>
      <c r="Y42" s="3"/>
    </row>
    <row r="43" spans="1:25" ht="11.25" customHeight="1">
      <c r="A43" s="2"/>
      <c r="B43" s="2"/>
      <c r="C43" s="2"/>
      <c r="D43" s="2"/>
      <c r="E43" s="2"/>
      <c r="F43" s="2"/>
      <c r="G43" s="3"/>
      <c r="H43" s="3"/>
      <c r="I43" s="3"/>
      <c r="J43" s="3"/>
      <c r="K43" s="2"/>
      <c r="L43" s="2"/>
      <c r="M43" s="3"/>
      <c r="N43" s="2"/>
      <c r="O43" s="2"/>
      <c r="P43" s="3"/>
      <c r="Q43" s="2"/>
      <c r="R43" s="2"/>
      <c r="S43" s="3"/>
      <c r="T43" s="2"/>
      <c r="U43" s="2"/>
      <c r="V43" s="3"/>
      <c r="W43" s="4"/>
      <c r="X43" s="2"/>
      <c r="Y43" s="3"/>
    </row>
    <row r="44" spans="1:25" ht="11.25" customHeight="1">
      <c r="A44" s="2"/>
      <c r="B44" s="2"/>
      <c r="C44" s="2"/>
      <c r="D44" s="2"/>
      <c r="E44" s="2"/>
      <c r="F44" s="2"/>
      <c r="G44" s="3"/>
      <c r="H44" s="3"/>
      <c r="I44" s="3"/>
      <c r="J44" s="3"/>
      <c r="K44" s="2"/>
      <c r="L44" s="2"/>
      <c r="M44" s="3"/>
      <c r="N44" s="2"/>
      <c r="O44" s="2"/>
      <c r="P44" s="3"/>
      <c r="Q44" s="2"/>
      <c r="R44" s="2"/>
      <c r="S44" s="3"/>
      <c r="T44" s="2"/>
      <c r="U44" s="2"/>
      <c r="V44" s="3"/>
      <c r="W44" s="4"/>
      <c r="X44" s="2"/>
      <c r="Y44" s="3"/>
    </row>
    <row r="45" spans="1:25" ht="11.25" customHeight="1">
      <c r="A45" s="2"/>
      <c r="B45" s="2"/>
      <c r="C45" s="2"/>
      <c r="D45" s="2"/>
      <c r="E45" s="2"/>
      <c r="F45" s="2"/>
      <c r="G45" s="3"/>
      <c r="H45" s="3"/>
      <c r="I45" s="3"/>
      <c r="J45" s="3"/>
      <c r="K45" s="2"/>
      <c r="L45" s="2"/>
      <c r="M45" s="3"/>
      <c r="N45" s="2"/>
      <c r="O45" s="2"/>
      <c r="P45" s="3"/>
      <c r="Q45" s="2"/>
      <c r="R45" s="2"/>
      <c r="S45" s="3"/>
      <c r="T45" s="2"/>
      <c r="U45" s="2"/>
      <c r="V45" s="3"/>
      <c r="W45" s="4"/>
      <c r="X45" s="2"/>
      <c r="Y45" s="3"/>
    </row>
    <row r="46" spans="1:25" ht="11.25" customHeight="1">
      <c r="A46" s="2"/>
      <c r="B46" s="2"/>
      <c r="C46" s="2"/>
      <c r="D46" s="2"/>
      <c r="E46" s="2"/>
      <c r="F46" s="2"/>
      <c r="G46" s="3"/>
      <c r="H46" s="3"/>
      <c r="I46" s="3"/>
      <c r="J46" s="3"/>
      <c r="K46" s="2"/>
      <c r="L46" s="2"/>
      <c r="M46" s="3"/>
      <c r="N46" s="2"/>
      <c r="O46" s="2"/>
      <c r="P46" s="3"/>
      <c r="Q46" s="2"/>
      <c r="R46" s="2"/>
      <c r="S46" s="3"/>
      <c r="T46" s="2"/>
      <c r="U46" s="2"/>
      <c r="V46" s="3"/>
      <c r="W46" s="4"/>
      <c r="X46" s="2"/>
      <c r="Y46" s="3"/>
    </row>
    <row r="47" spans="1:25" ht="11.25" customHeight="1">
      <c r="A47" s="2"/>
      <c r="B47" s="2"/>
      <c r="C47" s="2"/>
      <c r="D47" s="2"/>
      <c r="E47" s="2"/>
      <c r="F47" s="2"/>
      <c r="G47" s="3"/>
      <c r="H47" s="3"/>
      <c r="I47" s="3"/>
      <c r="J47" s="3"/>
      <c r="K47" s="2"/>
      <c r="L47" s="2"/>
      <c r="M47" s="3"/>
      <c r="N47" s="2"/>
      <c r="O47" s="2"/>
      <c r="P47" s="3"/>
      <c r="Q47" s="2"/>
      <c r="R47" s="2"/>
      <c r="S47" s="3"/>
      <c r="T47" s="2"/>
      <c r="U47" s="2"/>
      <c r="V47" s="3"/>
      <c r="W47" s="4"/>
      <c r="X47" s="2"/>
      <c r="Y47" s="3"/>
    </row>
    <row r="48" spans="1:25" ht="11.25" customHeight="1">
      <c r="A48" s="2"/>
      <c r="B48" s="2"/>
      <c r="C48" s="2"/>
      <c r="D48" s="2"/>
      <c r="E48" s="2"/>
      <c r="F48" s="2"/>
      <c r="G48" s="3"/>
      <c r="H48" s="3"/>
      <c r="I48" s="3"/>
      <c r="J48" s="3"/>
      <c r="K48" s="2"/>
      <c r="L48" s="2"/>
      <c r="M48" s="3"/>
      <c r="N48" s="2"/>
      <c r="O48" s="2"/>
      <c r="P48" s="3"/>
      <c r="Q48" s="2"/>
      <c r="R48" s="2"/>
      <c r="S48" s="3"/>
      <c r="T48" s="2"/>
      <c r="U48" s="2"/>
      <c r="V48" s="3"/>
      <c r="W48" s="4"/>
      <c r="X48" s="2"/>
      <c r="Y48" s="3"/>
    </row>
    <row r="49" spans="1:25" ht="11.25" customHeight="1">
      <c r="A49" s="2"/>
      <c r="B49" s="2"/>
      <c r="C49" s="2"/>
      <c r="D49" s="2"/>
      <c r="E49" s="2"/>
      <c r="F49" s="2"/>
      <c r="G49" s="3"/>
      <c r="H49" s="3"/>
      <c r="I49" s="3"/>
      <c r="J49" s="3"/>
      <c r="K49" s="2"/>
      <c r="L49" s="2"/>
      <c r="M49" s="3"/>
      <c r="N49" s="2"/>
      <c r="O49" s="2"/>
      <c r="P49" s="3"/>
      <c r="Q49" s="2"/>
      <c r="R49" s="2"/>
      <c r="S49" s="3"/>
      <c r="T49" s="2"/>
      <c r="U49" s="2"/>
      <c r="V49" s="3"/>
      <c r="W49" s="4"/>
      <c r="X49" s="2"/>
      <c r="Y49" s="3"/>
    </row>
    <row r="50" spans="1:25" ht="11.25" customHeight="1">
      <c r="A50" s="2"/>
      <c r="B50" s="2"/>
      <c r="C50" s="2"/>
      <c r="D50" s="2"/>
      <c r="E50" s="2"/>
      <c r="F50" s="2"/>
      <c r="G50" s="3"/>
      <c r="H50" s="3"/>
      <c r="I50" s="3"/>
      <c r="J50" s="3"/>
      <c r="K50" s="2"/>
      <c r="L50" s="2"/>
      <c r="M50" s="3"/>
      <c r="N50" s="2"/>
      <c r="O50" s="2"/>
      <c r="P50" s="3"/>
      <c r="Q50" s="2"/>
      <c r="R50" s="2"/>
      <c r="S50" s="3"/>
      <c r="T50" s="2"/>
      <c r="U50" s="2"/>
      <c r="V50" s="3"/>
      <c r="W50" s="4"/>
      <c r="X50" s="2"/>
      <c r="Y50" s="3"/>
    </row>
    <row r="51" spans="1:25" ht="11.25" customHeight="1">
      <c r="A51" s="2"/>
      <c r="B51" s="2"/>
      <c r="C51" s="2"/>
      <c r="D51" s="2"/>
      <c r="E51" s="2"/>
      <c r="F51" s="2"/>
      <c r="G51" s="3"/>
      <c r="H51" s="3"/>
      <c r="I51" s="3"/>
      <c r="J51" s="3"/>
      <c r="K51" s="2"/>
      <c r="L51" s="2"/>
      <c r="M51" s="3"/>
      <c r="N51" s="2"/>
      <c r="O51" s="2"/>
      <c r="P51" s="3"/>
      <c r="Q51" s="2"/>
      <c r="R51" s="2"/>
      <c r="S51" s="3"/>
      <c r="T51" s="2"/>
      <c r="U51" s="2"/>
      <c r="V51" s="3"/>
      <c r="W51" s="4"/>
      <c r="X51" s="2"/>
      <c r="Y51" s="3"/>
    </row>
    <row r="52" spans="1:25" ht="11.25" customHeight="1">
      <c r="A52" s="2"/>
      <c r="B52" s="2"/>
      <c r="C52" s="2"/>
      <c r="D52" s="2"/>
      <c r="E52" s="2"/>
      <c r="F52" s="2"/>
      <c r="G52" s="3"/>
      <c r="H52" s="3"/>
      <c r="I52" s="3"/>
      <c r="J52" s="3"/>
      <c r="K52" s="2"/>
      <c r="L52" s="2"/>
      <c r="M52" s="3"/>
      <c r="N52" s="2"/>
      <c r="O52" s="2"/>
      <c r="P52" s="3"/>
      <c r="Q52" s="2"/>
      <c r="R52" s="2"/>
      <c r="S52" s="3"/>
      <c r="T52" s="2"/>
      <c r="U52" s="2"/>
      <c r="V52" s="3"/>
      <c r="W52" s="4"/>
      <c r="X52" s="2"/>
      <c r="Y52" s="3"/>
    </row>
    <row r="53" spans="1:25" ht="11.25" customHeight="1">
      <c r="A53" s="2"/>
      <c r="B53" s="2"/>
      <c r="C53" s="2"/>
      <c r="D53" s="2"/>
      <c r="E53" s="2"/>
      <c r="F53" s="2"/>
      <c r="G53" s="3"/>
      <c r="H53" s="3"/>
      <c r="I53" s="3"/>
      <c r="J53" s="3"/>
      <c r="K53" s="2"/>
      <c r="L53" s="2"/>
      <c r="M53" s="3"/>
      <c r="N53" s="2"/>
      <c r="O53" s="2"/>
      <c r="P53" s="3"/>
      <c r="Q53" s="2"/>
      <c r="R53" s="2"/>
      <c r="S53" s="3"/>
      <c r="T53" s="2"/>
      <c r="U53" s="2"/>
      <c r="V53" s="3"/>
      <c r="W53" s="4"/>
      <c r="X53" s="2"/>
      <c r="Y53" s="3"/>
    </row>
    <row r="54" spans="1:25" ht="11.25" customHeight="1">
      <c r="A54" s="2"/>
      <c r="B54" s="2"/>
      <c r="C54" s="2"/>
      <c r="D54" s="2"/>
      <c r="E54" s="2"/>
      <c r="F54" s="2"/>
      <c r="G54" s="3"/>
      <c r="H54" s="3"/>
      <c r="I54" s="3"/>
      <c r="J54" s="3"/>
      <c r="K54" s="2"/>
      <c r="L54" s="2"/>
      <c r="M54" s="3"/>
      <c r="N54" s="2"/>
      <c r="O54" s="2"/>
      <c r="P54" s="3"/>
      <c r="Q54" s="2"/>
      <c r="R54" s="2"/>
      <c r="S54" s="3"/>
      <c r="T54" s="2"/>
      <c r="U54" s="2"/>
      <c r="V54" s="3"/>
      <c r="W54" s="4"/>
      <c r="X54" s="2"/>
      <c r="Y54" s="3"/>
    </row>
    <row r="55" spans="1:25" ht="11.25" customHeight="1">
      <c r="A55" s="2"/>
      <c r="B55" s="2"/>
      <c r="C55" s="2"/>
      <c r="D55" s="2"/>
      <c r="E55" s="2"/>
      <c r="F55" s="2"/>
      <c r="G55" s="3"/>
      <c r="H55" s="3"/>
      <c r="I55" s="3"/>
      <c r="J55" s="3"/>
      <c r="K55" s="2"/>
      <c r="L55" s="2"/>
      <c r="M55" s="3"/>
      <c r="N55" s="2"/>
      <c r="O55" s="2"/>
      <c r="P55" s="3"/>
      <c r="Q55" s="2"/>
      <c r="R55" s="2"/>
      <c r="S55" s="3"/>
      <c r="T55" s="2"/>
      <c r="U55" s="2"/>
      <c r="V55" s="3"/>
      <c r="W55" s="4"/>
      <c r="X55" s="2"/>
      <c r="Y55" s="3"/>
    </row>
    <row r="56" spans="1:25" ht="11.25" customHeight="1">
      <c r="A56" s="2"/>
      <c r="B56" s="2"/>
      <c r="C56" s="2"/>
      <c r="D56" s="2"/>
      <c r="E56" s="2"/>
      <c r="F56" s="2"/>
      <c r="G56" s="3"/>
      <c r="H56" s="3"/>
      <c r="I56" s="3"/>
      <c r="J56" s="3"/>
      <c r="K56" s="2"/>
      <c r="L56" s="2"/>
      <c r="M56" s="3"/>
      <c r="N56" s="2"/>
      <c r="O56" s="2"/>
      <c r="P56" s="3"/>
      <c r="Q56" s="2"/>
      <c r="R56" s="2"/>
      <c r="S56" s="3"/>
      <c r="T56" s="2"/>
      <c r="U56" s="2"/>
      <c r="V56" s="3"/>
      <c r="W56" s="4"/>
      <c r="X56" s="2"/>
      <c r="Y56" s="3"/>
    </row>
    <row r="57" spans="1:25" ht="11.25" customHeight="1">
      <c r="A57" s="2"/>
      <c r="B57" s="2"/>
      <c r="C57" s="2"/>
      <c r="D57" s="2"/>
      <c r="E57" s="2"/>
      <c r="F57" s="2"/>
      <c r="G57" s="3"/>
      <c r="H57" s="3"/>
      <c r="I57" s="3"/>
      <c r="J57" s="3"/>
      <c r="K57" s="2"/>
      <c r="L57" s="2"/>
      <c r="M57" s="3"/>
      <c r="N57" s="2"/>
      <c r="O57" s="2"/>
      <c r="P57" s="3"/>
      <c r="Q57" s="2"/>
      <c r="R57" s="2"/>
      <c r="S57" s="3"/>
      <c r="T57" s="2"/>
      <c r="U57" s="2"/>
      <c r="V57" s="3"/>
      <c r="W57" s="4"/>
      <c r="X57" s="2"/>
      <c r="Y57" s="3"/>
    </row>
    <row r="58" spans="1:25" ht="11.25" customHeight="1">
      <c r="A58" s="2"/>
      <c r="B58" s="2"/>
      <c r="C58" s="2"/>
      <c r="D58" s="2"/>
      <c r="E58" s="2"/>
      <c r="F58" s="2"/>
      <c r="G58" s="3"/>
      <c r="H58" s="3"/>
      <c r="I58" s="3"/>
      <c r="J58" s="3"/>
      <c r="K58" s="2"/>
      <c r="L58" s="2"/>
      <c r="M58" s="3"/>
      <c r="N58" s="2"/>
      <c r="O58" s="2"/>
      <c r="P58" s="3"/>
      <c r="Q58" s="2"/>
      <c r="R58" s="2"/>
      <c r="S58" s="3"/>
      <c r="T58" s="2"/>
      <c r="U58" s="2"/>
      <c r="V58" s="3"/>
      <c r="W58" s="4"/>
      <c r="X58" s="2"/>
      <c r="Y58" s="3"/>
    </row>
    <row r="59" spans="1:25" ht="11.25" customHeight="1">
      <c r="A59" s="1"/>
      <c r="B59" s="1"/>
      <c r="C59" s="1"/>
      <c r="D59" s="1"/>
      <c r="E59" s="2"/>
      <c r="F59" s="2"/>
      <c r="G59" s="3"/>
      <c r="H59" s="3"/>
      <c r="I59" s="3"/>
      <c r="J59" s="3"/>
      <c r="K59" s="2"/>
      <c r="L59" s="2"/>
      <c r="M59" s="3"/>
      <c r="N59" s="2"/>
      <c r="O59" s="2"/>
      <c r="P59" s="3"/>
      <c r="Q59" s="2"/>
      <c r="R59" s="2"/>
      <c r="S59" s="3"/>
      <c r="T59" s="2"/>
      <c r="U59" s="2"/>
      <c r="V59" s="3"/>
      <c r="W59" s="4"/>
      <c r="X59" s="2"/>
      <c r="Y59" s="3"/>
    </row>
    <row r="60" spans="1:25" ht="12" customHeight="1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Y60" s="9" t="s">
        <v>0</v>
      </c>
    </row>
    <row r="61" spans="1:25" ht="12" customHeight="1">
      <c r="A61" s="12" t="s">
        <v>30</v>
      </c>
      <c r="B61" s="147" t="s">
        <v>64</v>
      </c>
      <c r="C61" s="148"/>
      <c r="D61" s="149"/>
      <c r="E61" s="147" t="s">
        <v>2</v>
      </c>
      <c r="F61" s="148"/>
      <c r="G61" s="149"/>
      <c r="H61" s="13" t="s">
        <v>65</v>
      </c>
      <c r="I61" s="13"/>
      <c r="J61" s="14"/>
      <c r="K61" s="13" t="s">
        <v>3</v>
      </c>
      <c r="L61" s="13"/>
      <c r="M61" s="14"/>
      <c r="N61" s="15" t="s">
        <v>4</v>
      </c>
      <c r="O61" s="15"/>
      <c r="P61" s="15"/>
      <c r="Q61" s="15"/>
      <c r="R61" s="15"/>
      <c r="S61" s="15"/>
      <c r="T61" s="15"/>
      <c r="U61" s="15"/>
      <c r="V61" s="16"/>
      <c r="W61" s="13" t="s">
        <v>5</v>
      </c>
      <c r="X61" s="13"/>
      <c r="Y61" s="17"/>
    </row>
    <row r="62" spans="1:25" ht="12" customHeight="1">
      <c r="A62" s="18"/>
      <c r="B62" s="19"/>
      <c r="C62" s="20"/>
      <c r="D62" s="21"/>
      <c r="E62" s="20"/>
      <c r="F62" s="20"/>
      <c r="G62" s="21"/>
      <c r="H62" s="20"/>
      <c r="I62" s="20"/>
      <c r="J62" s="21"/>
      <c r="K62" s="20"/>
      <c r="L62" s="20"/>
      <c r="M62" s="21"/>
      <c r="N62" s="22" t="s">
        <v>6</v>
      </c>
      <c r="O62" s="22"/>
      <c r="P62" s="23"/>
      <c r="Q62" s="22" t="s">
        <v>7</v>
      </c>
      <c r="R62" s="22"/>
      <c r="S62" s="23"/>
      <c r="T62" s="22" t="s">
        <v>8</v>
      </c>
      <c r="U62" s="22"/>
      <c r="V62" s="23"/>
      <c r="W62" s="20"/>
      <c r="X62" s="20"/>
      <c r="Y62" s="24"/>
    </row>
    <row r="63" spans="1:25" ht="12" customHeight="1">
      <c r="A63" s="18"/>
      <c r="B63" s="65" t="s">
        <v>9</v>
      </c>
      <c r="C63" s="66" t="s">
        <v>10</v>
      </c>
      <c r="D63" s="27" t="s">
        <v>31</v>
      </c>
      <c r="E63" s="25" t="s">
        <v>9</v>
      </c>
      <c r="F63" s="26" t="s">
        <v>10</v>
      </c>
      <c r="G63" s="27" t="s">
        <v>31</v>
      </c>
      <c r="H63" s="65" t="s">
        <v>9</v>
      </c>
      <c r="I63" s="66" t="s">
        <v>10</v>
      </c>
      <c r="J63" s="27" t="s">
        <v>31</v>
      </c>
      <c r="K63" s="28" t="s">
        <v>9</v>
      </c>
      <c r="L63" s="28" t="s">
        <v>10</v>
      </c>
      <c r="M63" s="27" t="s">
        <v>11</v>
      </c>
      <c r="N63" s="28" t="s">
        <v>9</v>
      </c>
      <c r="O63" s="28" t="s">
        <v>10</v>
      </c>
      <c r="P63" s="27" t="s">
        <v>11</v>
      </c>
      <c r="Q63" s="28" t="s">
        <v>9</v>
      </c>
      <c r="R63" s="28" t="s">
        <v>10</v>
      </c>
      <c r="S63" s="27" t="s">
        <v>11</v>
      </c>
      <c r="T63" s="28" t="s">
        <v>9</v>
      </c>
      <c r="U63" s="28" t="s">
        <v>10</v>
      </c>
      <c r="V63" s="27" t="s">
        <v>11</v>
      </c>
      <c r="W63" s="28" t="s">
        <v>9</v>
      </c>
      <c r="X63" s="28" t="s">
        <v>10</v>
      </c>
      <c r="Y63" s="29" t="s">
        <v>11</v>
      </c>
    </row>
    <row r="64" spans="1:25" ht="12" customHeight="1" thickBot="1">
      <c r="A64" s="30"/>
      <c r="B64" s="67"/>
      <c r="C64" s="32" t="s">
        <v>80</v>
      </c>
      <c r="D64" s="33" t="s">
        <v>13</v>
      </c>
      <c r="E64" s="31"/>
      <c r="F64" s="32" t="s">
        <v>80</v>
      </c>
      <c r="G64" s="33" t="s">
        <v>13</v>
      </c>
      <c r="H64" s="67"/>
      <c r="I64" s="32" t="s">
        <v>80</v>
      </c>
      <c r="J64" s="33" t="s">
        <v>13</v>
      </c>
      <c r="K64" s="34"/>
      <c r="L64" s="32" t="s">
        <v>80</v>
      </c>
      <c r="M64" s="33" t="s">
        <v>13</v>
      </c>
      <c r="N64" s="34"/>
      <c r="O64" s="32" t="s">
        <v>80</v>
      </c>
      <c r="P64" s="33" t="s">
        <v>13</v>
      </c>
      <c r="Q64" s="34"/>
      <c r="R64" s="32" t="s">
        <v>80</v>
      </c>
      <c r="S64" s="33" t="s">
        <v>13</v>
      </c>
      <c r="T64" s="34"/>
      <c r="U64" s="32" t="s">
        <v>80</v>
      </c>
      <c r="V64" s="33" t="s">
        <v>13</v>
      </c>
      <c r="W64" s="34"/>
      <c r="X64" s="32" t="s">
        <v>80</v>
      </c>
      <c r="Y64" s="35" t="s">
        <v>13</v>
      </c>
    </row>
    <row r="65" spans="1:25" ht="11.25" customHeight="1">
      <c r="A65" s="60" t="s">
        <v>32</v>
      </c>
      <c r="B65" s="71"/>
      <c r="C65" s="107"/>
      <c r="D65" s="111"/>
      <c r="E65" s="61"/>
      <c r="F65" s="61"/>
      <c r="G65" s="105"/>
      <c r="H65" s="71"/>
      <c r="I65" s="107"/>
      <c r="J65" s="105"/>
      <c r="K65" s="61"/>
      <c r="L65" s="61"/>
      <c r="M65" s="105"/>
      <c r="N65" s="61"/>
      <c r="O65" s="61"/>
      <c r="P65" s="105"/>
      <c r="Q65" s="61"/>
      <c r="R65" s="61"/>
      <c r="S65" s="105"/>
      <c r="T65" s="61"/>
      <c r="U65" s="61"/>
      <c r="V65" s="105"/>
      <c r="W65" s="61"/>
      <c r="X65" s="61"/>
      <c r="Y65" s="106"/>
    </row>
    <row r="66" spans="1:25" ht="11.25" customHeight="1">
      <c r="A66" s="36" t="s">
        <v>33</v>
      </c>
      <c r="B66" s="72">
        <v>150000</v>
      </c>
      <c r="C66" s="96">
        <v>222099</v>
      </c>
      <c r="D66" s="94">
        <f>C66*100/B66</f>
        <v>148.066</v>
      </c>
      <c r="E66" s="37">
        <v>180000</v>
      </c>
      <c r="F66" s="37">
        <v>207402</v>
      </c>
      <c r="G66" s="94">
        <f>F66*100/E66</f>
        <v>115.22333333333333</v>
      </c>
      <c r="H66" s="72">
        <f>127573-24165-2600</f>
        <v>100808</v>
      </c>
      <c r="I66" s="96">
        <f>L66</f>
        <v>138878</v>
      </c>
      <c r="J66" s="94">
        <f>I66*100/H66</f>
        <v>137.76485993175146</v>
      </c>
      <c r="K66" s="37">
        <f>N66+Q66+T66</f>
        <v>127573</v>
      </c>
      <c r="L66" s="37">
        <f>O66+R66+U66</f>
        <v>138878</v>
      </c>
      <c r="M66" s="94">
        <f>L66*100/K66</f>
        <v>108.86159297029936</v>
      </c>
      <c r="N66" s="37">
        <v>0</v>
      </c>
      <c r="O66" s="37">
        <v>0</v>
      </c>
      <c r="P66" s="97" t="s">
        <v>15</v>
      </c>
      <c r="Q66" s="37">
        <v>2000</v>
      </c>
      <c r="R66" s="37">
        <v>1829</v>
      </c>
      <c r="S66" s="94">
        <f>R66*100/Q66</f>
        <v>91.45</v>
      </c>
      <c r="T66" s="37">
        <v>125573</v>
      </c>
      <c r="U66" s="37">
        <v>137049</v>
      </c>
      <c r="V66" s="94">
        <f>U66*100/T66</f>
        <v>109.1389072491698</v>
      </c>
      <c r="W66" s="37">
        <f>E66-K66</f>
        <v>52427</v>
      </c>
      <c r="X66" s="37">
        <f>F66-L66</f>
        <v>68524</v>
      </c>
      <c r="Y66" s="101">
        <f>X66*100/W66</f>
        <v>130.7036450683808</v>
      </c>
    </row>
    <row r="67" spans="1:25" ht="11.25" customHeight="1">
      <c r="A67" s="18" t="s">
        <v>34</v>
      </c>
      <c r="B67" s="73"/>
      <c r="C67" s="44"/>
      <c r="D67" s="113"/>
      <c r="E67" s="46"/>
      <c r="F67" s="86"/>
      <c r="G67" s="45"/>
      <c r="H67" s="73"/>
      <c r="I67" s="44"/>
      <c r="J67" s="45"/>
      <c r="K67" s="46"/>
      <c r="L67" s="46"/>
      <c r="M67" s="45"/>
      <c r="N67" s="46"/>
      <c r="O67" s="86"/>
      <c r="P67" s="87"/>
      <c r="Q67" s="46"/>
      <c r="R67" s="86"/>
      <c r="S67" s="87"/>
      <c r="T67" s="46"/>
      <c r="U67" s="86"/>
      <c r="V67" s="45"/>
      <c r="W67" s="46"/>
      <c r="X67" s="46"/>
      <c r="Y67" s="47"/>
    </row>
    <row r="68" spans="1:25" ht="11.25" customHeight="1">
      <c r="A68" s="36" t="s">
        <v>33</v>
      </c>
      <c r="B68" s="72">
        <v>142900</v>
      </c>
      <c r="C68" s="96">
        <f>5621+166+162102</f>
        <v>167889</v>
      </c>
      <c r="D68" s="94">
        <f>C68*100/B68</f>
        <v>117.48705388383485</v>
      </c>
      <c r="E68" s="37">
        <f>140000+2900+875</f>
        <v>143775</v>
      </c>
      <c r="F68" s="37">
        <f>5621+0+151800</f>
        <v>157421</v>
      </c>
      <c r="G68" s="94">
        <f>F68*100/E68</f>
        <v>109.49121891844896</v>
      </c>
      <c r="H68" s="72">
        <v>89962</v>
      </c>
      <c r="I68" s="96">
        <f>L68</f>
        <v>83369</v>
      </c>
      <c r="J68" s="94">
        <f>I68*100/H68</f>
        <v>92.67135012560858</v>
      </c>
      <c r="K68" s="37">
        <f>N68+Q68+T68</f>
        <v>89962</v>
      </c>
      <c r="L68" s="37">
        <f>O68+R68+U68</f>
        <v>83369</v>
      </c>
      <c r="M68" s="94">
        <f>L68*100/K68</f>
        <v>92.67135012560858</v>
      </c>
      <c r="N68" s="37">
        <f>9000+11300</f>
        <v>20300</v>
      </c>
      <c r="O68" s="37">
        <v>19149</v>
      </c>
      <c r="P68" s="94">
        <f>O68*100/N68</f>
        <v>94.33004926108374</v>
      </c>
      <c r="Q68" s="37">
        <f>20002+44750</f>
        <v>64752</v>
      </c>
      <c r="R68" s="37">
        <v>60630</v>
      </c>
      <c r="S68" s="94">
        <f>R68*100/Q68</f>
        <v>93.63417346182358</v>
      </c>
      <c r="T68" s="37">
        <f>110+4800</f>
        <v>4910</v>
      </c>
      <c r="U68" s="37">
        <v>3590</v>
      </c>
      <c r="V68" s="94">
        <f>U68*100/T68</f>
        <v>73.11608961303462</v>
      </c>
      <c r="W68" s="37">
        <f>E68-K68</f>
        <v>53813</v>
      </c>
      <c r="X68" s="37">
        <f>F68-L68</f>
        <v>74052</v>
      </c>
      <c r="Y68" s="101">
        <f>X68*100/W68</f>
        <v>137.60987122070875</v>
      </c>
    </row>
    <row r="69" spans="1:25" ht="11.25" customHeight="1">
      <c r="A69" s="63" t="s">
        <v>35</v>
      </c>
      <c r="B69" s="73"/>
      <c r="C69" s="44"/>
      <c r="D69" s="113"/>
      <c r="E69" s="46"/>
      <c r="F69" s="46"/>
      <c r="G69" s="45"/>
      <c r="H69" s="73"/>
      <c r="I69" s="44"/>
      <c r="J69" s="45"/>
      <c r="K69" s="46"/>
      <c r="L69" s="46"/>
      <c r="M69" s="45"/>
      <c r="N69" s="46"/>
      <c r="O69" s="46"/>
      <c r="P69" s="87"/>
      <c r="Q69" s="46"/>
      <c r="R69" s="46"/>
      <c r="S69" s="45"/>
      <c r="T69" s="46"/>
      <c r="U69" s="46"/>
      <c r="V69" s="87"/>
      <c r="W69" s="46"/>
      <c r="X69" s="114"/>
      <c r="Y69" s="47"/>
    </row>
    <row r="70" spans="1:25" ht="11.25" customHeight="1">
      <c r="A70" s="69" t="s">
        <v>36</v>
      </c>
      <c r="B70" s="74">
        <v>180000</v>
      </c>
      <c r="C70" s="88">
        <v>322032</v>
      </c>
      <c r="D70" s="89">
        <f>C70*100/B70</f>
        <v>178.90666666666667</v>
      </c>
      <c r="E70" s="40">
        <v>240000</v>
      </c>
      <c r="F70" s="56">
        <v>337256</v>
      </c>
      <c r="G70" s="89">
        <f>F70*100/E70</f>
        <v>140.52333333333334</v>
      </c>
      <c r="H70" s="74">
        <v>58300</v>
      </c>
      <c r="I70" s="88">
        <v>37452</v>
      </c>
      <c r="J70" s="89">
        <f>I70*100/H70</f>
        <v>64.2401372212693</v>
      </c>
      <c r="K70" s="40">
        <f>N70+Q70+T70</f>
        <v>58300</v>
      </c>
      <c r="L70" s="40">
        <f>O70+R70+U70</f>
        <v>37452</v>
      </c>
      <c r="M70" s="89">
        <f>L70*100/K70</f>
        <v>64.2401372212693</v>
      </c>
      <c r="N70" s="40">
        <v>0</v>
      </c>
      <c r="O70" s="56">
        <v>0</v>
      </c>
      <c r="P70" s="115" t="s">
        <v>15</v>
      </c>
      <c r="Q70" s="40">
        <v>58300</v>
      </c>
      <c r="R70" s="56">
        <v>37452</v>
      </c>
      <c r="S70" s="89">
        <f>R70*100/Q70</f>
        <v>64.2401372212693</v>
      </c>
      <c r="T70" s="40">
        <v>0</v>
      </c>
      <c r="U70" s="56">
        <v>0</v>
      </c>
      <c r="V70" s="115" t="s">
        <v>15</v>
      </c>
      <c r="W70" s="40">
        <f>E70-K70</f>
        <v>181700</v>
      </c>
      <c r="X70" s="40">
        <f>F70-L70</f>
        <v>299804</v>
      </c>
      <c r="Y70" s="90">
        <f>X70*100/W70</f>
        <v>164.99944964226748</v>
      </c>
    </row>
    <row r="71" spans="1:25" ht="11.25" customHeight="1">
      <c r="A71" s="41" t="s">
        <v>61</v>
      </c>
      <c r="B71" s="75"/>
      <c r="C71" s="76"/>
      <c r="D71" s="42"/>
      <c r="E71" s="46"/>
      <c r="F71" s="86"/>
      <c r="G71" s="45"/>
      <c r="H71" s="73"/>
      <c r="I71" s="44"/>
      <c r="J71" s="45"/>
      <c r="K71" s="46"/>
      <c r="L71" s="46"/>
      <c r="M71" s="45"/>
      <c r="N71" s="46"/>
      <c r="O71" s="86"/>
      <c r="P71" s="87"/>
      <c r="Q71" s="46"/>
      <c r="R71" s="86"/>
      <c r="S71" s="45"/>
      <c r="T71" s="46"/>
      <c r="U71" s="86"/>
      <c r="V71" s="87"/>
      <c r="W71" s="46"/>
      <c r="X71" s="46"/>
      <c r="Y71" s="47"/>
    </row>
    <row r="72" spans="1:25" ht="11.25" customHeight="1">
      <c r="A72" s="70" t="s">
        <v>60</v>
      </c>
      <c r="B72" s="74">
        <f>B66+B68+B70</f>
        <v>472900</v>
      </c>
      <c r="C72" s="88">
        <f>C66+C68+C70</f>
        <v>712020</v>
      </c>
      <c r="D72" s="89">
        <f>C72*100/B72</f>
        <v>150.5646013956439</v>
      </c>
      <c r="E72" s="40">
        <f>E66+E68+E70</f>
        <v>563775</v>
      </c>
      <c r="F72" s="40">
        <f>F66+F68+F70</f>
        <v>702079</v>
      </c>
      <c r="G72" s="89">
        <f>F72*100/E72</f>
        <v>124.53177242694338</v>
      </c>
      <c r="H72" s="74">
        <f>H66+H68+H70</f>
        <v>249070</v>
      </c>
      <c r="I72" s="88">
        <f>I66+I68+I70</f>
        <v>259699</v>
      </c>
      <c r="J72" s="89">
        <f>I72*100/H72</f>
        <v>104.26747500702614</v>
      </c>
      <c r="K72" s="40">
        <f>K66+K68+K70</f>
        <v>275835</v>
      </c>
      <c r="L72" s="40">
        <f>L66+L68+L70</f>
        <v>259699</v>
      </c>
      <c r="M72" s="89">
        <f>L72*100/K72</f>
        <v>94.1501259811119</v>
      </c>
      <c r="N72" s="40">
        <f>N66+N68+N70</f>
        <v>20300</v>
      </c>
      <c r="O72" s="40">
        <f>O66+O68+O70</f>
        <v>19149</v>
      </c>
      <c r="P72" s="89">
        <f>O72*100/N72</f>
        <v>94.33004926108374</v>
      </c>
      <c r="Q72" s="40">
        <f>Q66+Q68+Q70</f>
        <v>125052</v>
      </c>
      <c r="R72" s="40">
        <f>R66+R68+R70</f>
        <v>99911</v>
      </c>
      <c r="S72" s="89">
        <f>R72*100/Q72</f>
        <v>79.89556344560663</v>
      </c>
      <c r="T72" s="40">
        <f>T66+T68+T70</f>
        <v>130483</v>
      </c>
      <c r="U72" s="40">
        <f>U66+U68+U70</f>
        <v>140639</v>
      </c>
      <c r="V72" s="89">
        <f>U72*100/T72</f>
        <v>107.7833894070492</v>
      </c>
      <c r="W72" s="40">
        <f>W66+W68+W70</f>
        <v>287940</v>
      </c>
      <c r="X72" s="40">
        <f>X66+X68+X70</f>
        <v>442380</v>
      </c>
      <c r="Y72" s="90">
        <f>X72*100/W72</f>
        <v>153.63617420295895</v>
      </c>
    </row>
    <row r="73" spans="1:25" ht="11.25" customHeight="1">
      <c r="A73" s="18" t="s">
        <v>39</v>
      </c>
      <c r="B73" s="73"/>
      <c r="C73" s="44"/>
      <c r="D73" s="113"/>
      <c r="E73" s="46"/>
      <c r="F73" s="46"/>
      <c r="G73" s="45"/>
      <c r="H73" s="73"/>
      <c r="I73" s="44"/>
      <c r="J73" s="45"/>
      <c r="K73" s="46"/>
      <c r="L73" s="46"/>
      <c r="M73" s="45"/>
      <c r="N73" s="46"/>
      <c r="O73" s="46"/>
      <c r="P73" s="45"/>
      <c r="Q73" s="46"/>
      <c r="R73" s="46"/>
      <c r="S73" s="45"/>
      <c r="T73" s="46"/>
      <c r="U73" s="46"/>
      <c r="V73" s="45"/>
      <c r="W73" s="46"/>
      <c r="X73" s="46"/>
      <c r="Y73" s="47"/>
    </row>
    <row r="74" spans="1:25" ht="11.25" customHeight="1">
      <c r="A74" s="36" t="s">
        <v>40</v>
      </c>
      <c r="B74" s="72">
        <v>80000</v>
      </c>
      <c r="C74" s="96">
        <v>86562</v>
      </c>
      <c r="D74" s="94">
        <f>C74*100/B74</f>
        <v>108.2025</v>
      </c>
      <c r="E74" s="37">
        <v>56000</v>
      </c>
      <c r="F74" s="55">
        <v>72932</v>
      </c>
      <c r="G74" s="94">
        <f>F74*100/E74</f>
        <v>130.2357142857143</v>
      </c>
      <c r="H74" s="72">
        <v>550</v>
      </c>
      <c r="I74" s="96">
        <v>30</v>
      </c>
      <c r="J74" s="94">
        <f>I74*100/H74</f>
        <v>5.454545454545454</v>
      </c>
      <c r="K74" s="37">
        <f>N74+Q74+T74</f>
        <v>550</v>
      </c>
      <c r="L74" s="37">
        <f>O74+R74+U74</f>
        <v>30</v>
      </c>
      <c r="M74" s="97" t="s">
        <v>15</v>
      </c>
      <c r="N74" s="37">
        <v>0</v>
      </c>
      <c r="O74" s="55">
        <v>0</v>
      </c>
      <c r="P74" s="97" t="s">
        <v>15</v>
      </c>
      <c r="Q74" s="37">
        <v>550</v>
      </c>
      <c r="R74" s="55">
        <v>30</v>
      </c>
      <c r="S74" s="94">
        <f>R74*100/Q74</f>
        <v>5.454545454545454</v>
      </c>
      <c r="T74" s="37">
        <v>0</v>
      </c>
      <c r="U74" s="55">
        <v>0</v>
      </c>
      <c r="V74" s="97" t="s">
        <v>15</v>
      </c>
      <c r="W74" s="37">
        <f>E74-K74</f>
        <v>55450</v>
      </c>
      <c r="X74" s="37">
        <f>F74-L74</f>
        <v>72902</v>
      </c>
      <c r="Y74" s="101">
        <f>X74*100/W74</f>
        <v>131.47339945897204</v>
      </c>
    </row>
    <row r="75" spans="1:25" ht="11.25" customHeight="1">
      <c r="A75" s="18" t="s">
        <v>62</v>
      </c>
      <c r="B75" s="73"/>
      <c r="C75" s="44"/>
      <c r="D75" s="113"/>
      <c r="E75" s="46"/>
      <c r="F75" s="46"/>
      <c r="G75" s="87"/>
      <c r="H75" s="116"/>
      <c r="I75" s="117"/>
      <c r="J75" s="87"/>
      <c r="K75" s="46"/>
      <c r="L75" s="46"/>
      <c r="M75" s="45"/>
      <c r="N75" s="46"/>
      <c r="O75" s="46"/>
      <c r="P75" s="87"/>
      <c r="Q75" s="46"/>
      <c r="R75" s="46"/>
      <c r="S75" s="45"/>
      <c r="T75" s="46"/>
      <c r="U75" s="46"/>
      <c r="V75" s="87"/>
      <c r="W75" s="46"/>
      <c r="X75" s="46"/>
      <c r="Y75" s="47"/>
    </row>
    <row r="76" spans="1:25" ht="11.25" customHeight="1">
      <c r="A76" s="36" t="s">
        <v>63</v>
      </c>
      <c r="B76" s="72">
        <v>500</v>
      </c>
      <c r="C76" s="96">
        <v>1020</v>
      </c>
      <c r="D76" s="94">
        <f>C76*100/B76</f>
        <v>204</v>
      </c>
      <c r="E76" s="37">
        <v>500</v>
      </c>
      <c r="F76" s="55">
        <v>1020</v>
      </c>
      <c r="G76" s="94">
        <f>F76*100/E76</f>
        <v>204</v>
      </c>
      <c r="H76" s="72">
        <v>0</v>
      </c>
      <c r="I76" s="96">
        <v>0</v>
      </c>
      <c r="J76" s="97" t="s">
        <v>15</v>
      </c>
      <c r="K76" s="37">
        <f>N76+Q76+T76</f>
        <v>0</v>
      </c>
      <c r="L76" s="37">
        <f>O76+R76+U76</f>
        <v>0</v>
      </c>
      <c r="M76" s="97" t="s">
        <v>15</v>
      </c>
      <c r="N76" s="37">
        <v>0</v>
      </c>
      <c r="O76" s="55">
        <v>0</v>
      </c>
      <c r="P76" s="97" t="s">
        <v>15</v>
      </c>
      <c r="Q76" s="37">
        <v>0</v>
      </c>
      <c r="R76" s="55">
        <v>0</v>
      </c>
      <c r="S76" s="97" t="s">
        <v>15</v>
      </c>
      <c r="T76" s="37">
        <v>0</v>
      </c>
      <c r="U76" s="55">
        <v>0</v>
      </c>
      <c r="V76" s="97" t="s">
        <v>15</v>
      </c>
      <c r="W76" s="37">
        <f>E76-K76</f>
        <v>500</v>
      </c>
      <c r="X76" s="37">
        <f>F76-L76</f>
        <v>1020</v>
      </c>
      <c r="Y76" s="101">
        <f>X76*100/W76</f>
        <v>204</v>
      </c>
    </row>
    <row r="77" spans="1:25" ht="11.25" customHeight="1">
      <c r="A77" s="63" t="s">
        <v>37</v>
      </c>
      <c r="B77" s="73"/>
      <c r="C77" s="44"/>
      <c r="D77" s="113"/>
      <c r="E77" s="46"/>
      <c r="F77" s="46"/>
      <c r="G77" s="45"/>
      <c r="H77" s="73"/>
      <c r="I77" s="44"/>
      <c r="J77" s="45"/>
      <c r="K77" s="46"/>
      <c r="L77" s="46"/>
      <c r="M77" s="45"/>
      <c r="N77" s="46"/>
      <c r="O77" s="46"/>
      <c r="P77" s="87"/>
      <c r="Q77" s="46"/>
      <c r="R77" s="46"/>
      <c r="S77" s="45"/>
      <c r="T77" s="46"/>
      <c r="U77" s="46"/>
      <c r="V77" s="87"/>
      <c r="W77" s="46"/>
      <c r="X77" s="114"/>
      <c r="Y77" s="47"/>
    </row>
    <row r="78" spans="1:25" ht="11.25" customHeight="1">
      <c r="A78" s="36" t="s">
        <v>38</v>
      </c>
      <c r="B78" s="72">
        <v>111500</v>
      </c>
      <c r="C78" s="96">
        <v>81516</v>
      </c>
      <c r="D78" s="94">
        <f>C78*100/B78</f>
        <v>73.10852017937219</v>
      </c>
      <c r="E78" s="37">
        <v>113000</v>
      </c>
      <c r="F78" s="55">
        <v>93839</v>
      </c>
      <c r="G78" s="94">
        <f>F78*100/E78</f>
        <v>83.0433628318584</v>
      </c>
      <c r="H78" s="72">
        <v>27000</v>
      </c>
      <c r="I78" s="96">
        <v>30564</v>
      </c>
      <c r="J78" s="94">
        <f>I78*100/H78</f>
        <v>113.2</v>
      </c>
      <c r="K78" s="37">
        <f>N78+Q78+T78</f>
        <v>27000</v>
      </c>
      <c r="L78" s="37">
        <f>O78+R78+U78</f>
        <v>30564</v>
      </c>
      <c r="M78" s="94">
        <f>L78*100/K78</f>
        <v>113.2</v>
      </c>
      <c r="N78" s="37">
        <v>25000</v>
      </c>
      <c r="O78" s="55">
        <v>29666</v>
      </c>
      <c r="P78" s="94">
        <f>O78*100/N78</f>
        <v>118.664</v>
      </c>
      <c r="Q78" s="37">
        <v>2000</v>
      </c>
      <c r="R78" s="55">
        <v>898</v>
      </c>
      <c r="S78" s="94">
        <f>R78*100/Q78</f>
        <v>44.9</v>
      </c>
      <c r="T78" s="37">
        <v>0</v>
      </c>
      <c r="U78" s="55">
        <v>0</v>
      </c>
      <c r="V78" s="97" t="s">
        <v>15</v>
      </c>
      <c r="W78" s="37">
        <f>E78-K78</f>
        <v>86000</v>
      </c>
      <c r="X78" s="37">
        <f>F78-L78</f>
        <v>63275</v>
      </c>
      <c r="Y78" s="101">
        <f>X78*100/W78</f>
        <v>73.57558139534883</v>
      </c>
    </row>
    <row r="79" spans="1:25" ht="11.25" customHeight="1">
      <c r="A79" s="18" t="s">
        <v>41</v>
      </c>
      <c r="B79" s="73"/>
      <c r="C79" s="44"/>
      <c r="D79" s="113"/>
      <c r="E79" s="46"/>
      <c r="F79" s="86"/>
      <c r="G79" s="45"/>
      <c r="H79" s="73"/>
      <c r="I79" s="44"/>
      <c r="J79" s="45"/>
      <c r="K79" s="46"/>
      <c r="L79" s="46"/>
      <c r="M79" s="45"/>
      <c r="N79" s="46"/>
      <c r="O79" s="86"/>
      <c r="P79" s="87"/>
      <c r="Q79" s="46"/>
      <c r="R79" s="86"/>
      <c r="S79" s="45"/>
      <c r="T79" s="46"/>
      <c r="U79" s="86"/>
      <c r="V79" s="87"/>
      <c r="W79" s="46"/>
      <c r="X79" s="114"/>
      <c r="Y79" s="47"/>
    </row>
    <row r="80" spans="1:25" ht="11.25" customHeight="1">
      <c r="A80" s="36" t="s">
        <v>42</v>
      </c>
      <c r="B80" s="72">
        <v>23000</v>
      </c>
      <c r="C80" s="96">
        <v>18316</v>
      </c>
      <c r="D80" s="94">
        <f>C80*100/B80</f>
        <v>79.63478260869566</v>
      </c>
      <c r="E80" s="37">
        <v>23446</v>
      </c>
      <c r="F80" s="55">
        <v>16009</v>
      </c>
      <c r="G80" s="94">
        <f>F80*100/E80</f>
        <v>68.28030367653331</v>
      </c>
      <c r="H80" s="72">
        <v>2100</v>
      </c>
      <c r="I80" s="96">
        <v>0</v>
      </c>
      <c r="J80" s="94">
        <f>I80*100/H80</f>
        <v>0</v>
      </c>
      <c r="K80" s="37">
        <f>N80+Q80+T80</f>
        <v>2100</v>
      </c>
      <c r="L80" s="37">
        <f>O80+R80+U80</f>
        <v>0</v>
      </c>
      <c r="M80" s="94">
        <f>L80*100/K80</f>
        <v>0</v>
      </c>
      <c r="N80" s="37">
        <v>0</v>
      </c>
      <c r="O80" s="55">
        <v>0</v>
      </c>
      <c r="P80" s="97" t="s">
        <v>15</v>
      </c>
      <c r="Q80" s="37">
        <v>0</v>
      </c>
      <c r="R80" s="55">
        <v>0</v>
      </c>
      <c r="S80" s="97" t="s">
        <v>15</v>
      </c>
      <c r="T80" s="37">
        <v>2100</v>
      </c>
      <c r="U80" s="55">
        <v>0</v>
      </c>
      <c r="V80" s="94">
        <f>U80*100/T80</f>
        <v>0</v>
      </c>
      <c r="W80" s="37">
        <f>E80-K80</f>
        <v>21346</v>
      </c>
      <c r="X80" s="37">
        <f>F80-L80</f>
        <v>16009</v>
      </c>
      <c r="Y80" s="101">
        <f>X80*100/W80</f>
        <v>74.99765764077578</v>
      </c>
    </row>
    <row r="81" spans="1:25" ht="11.25" customHeight="1">
      <c r="A81" s="18" t="s">
        <v>41</v>
      </c>
      <c r="B81" s="73"/>
      <c r="C81" s="44"/>
      <c r="D81" s="113"/>
      <c r="E81" s="46"/>
      <c r="F81" s="86"/>
      <c r="G81" s="45"/>
      <c r="H81" s="73"/>
      <c r="I81" s="44"/>
      <c r="J81" s="45"/>
      <c r="K81" s="46"/>
      <c r="L81" s="46"/>
      <c r="M81" s="45"/>
      <c r="N81" s="46"/>
      <c r="O81" s="86"/>
      <c r="P81" s="87"/>
      <c r="Q81" s="46"/>
      <c r="R81" s="86"/>
      <c r="S81" s="45"/>
      <c r="T81" s="46"/>
      <c r="U81" s="86"/>
      <c r="V81" s="45"/>
      <c r="W81" s="46"/>
      <c r="X81" s="114"/>
      <c r="Y81" s="47"/>
    </row>
    <row r="82" spans="1:25" ht="11.25" customHeight="1">
      <c r="A82" s="36" t="s">
        <v>43</v>
      </c>
      <c r="B82" s="72">
        <v>2500</v>
      </c>
      <c r="C82" s="96">
        <v>1926</v>
      </c>
      <c r="D82" s="94">
        <f>C82*100/B82</f>
        <v>77.04</v>
      </c>
      <c r="E82" s="37">
        <v>2900</v>
      </c>
      <c r="F82" s="55">
        <v>2897</v>
      </c>
      <c r="G82" s="94">
        <f>F82*100/E82</f>
        <v>99.89655172413794</v>
      </c>
      <c r="H82" s="72">
        <v>0</v>
      </c>
      <c r="I82" s="96">
        <v>0</v>
      </c>
      <c r="J82" s="97" t="s">
        <v>15</v>
      </c>
      <c r="K82" s="37">
        <f>N82+Q82+T82</f>
        <v>0</v>
      </c>
      <c r="L82" s="37">
        <f>O82+R82+U82</f>
        <v>0</v>
      </c>
      <c r="M82" s="97" t="s">
        <v>15</v>
      </c>
      <c r="N82" s="37">
        <v>0</v>
      </c>
      <c r="O82" s="55">
        <v>0</v>
      </c>
      <c r="P82" s="97" t="s">
        <v>15</v>
      </c>
      <c r="Q82" s="37">
        <v>0</v>
      </c>
      <c r="R82" s="55">
        <v>0</v>
      </c>
      <c r="S82" s="97" t="s">
        <v>15</v>
      </c>
      <c r="T82" s="37">
        <v>0</v>
      </c>
      <c r="U82" s="55">
        <v>0</v>
      </c>
      <c r="V82" s="97" t="s">
        <v>15</v>
      </c>
      <c r="W82" s="37">
        <f>E82-K82</f>
        <v>2900</v>
      </c>
      <c r="X82" s="37">
        <f>F82-L82</f>
        <v>2897</v>
      </c>
      <c r="Y82" s="101">
        <f>X82*100/W82</f>
        <v>99.89655172413794</v>
      </c>
    </row>
    <row r="83" spans="1:25" ht="11.25" customHeight="1">
      <c r="A83" s="18" t="s">
        <v>41</v>
      </c>
      <c r="B83" s="73"/>
      <c r="C83" s="44"/>
      <c r="D83" s="113"/>
      <c r="E83" s="46"/>
      <c r="F83" s="86"/>
      <c r="G83" s="45"/>
      <c r="H83" s="73"/>
      <c r="I83" s="44"/>
      <c r="J83" s="45"/>
      <c r="K83" s="46"/>
      <c r="L83" s="46"/>
      <c r="M83" s="87"/>
      <c r="N83" s="46"/>
      <c r="O83" s="86"/>
      <c r="P83" s="87"/>
      <c r="Q83" s="46"/>
      <c r="R83" s="86"/>
      <c r="S83" s="45"/>
      <c r="T83" s="46"/>
      <c r="U83" s="86"/>
      <c r="V83" s="87"/>
      <c r="W83" s="46"/>
      <c r="X83" s="46"/>
      <c r="Y83" s="47"/>
    </row>
    <row r="84" spans="1:25" ht="11.25" customHeight="1">
      <c r="A84" s="36" t="s">
        <v>44</v>
      </c>
      <c r="B84" s="72">
        <v>1200</v>
      </c>
      <c r="C84" s="96">
        <v>1854</v>
      </c>
      <c r="D84" s="94">
        <f>C84*100/B84</f>
        <v>154.5</v>
      </c>
      <c r="E84" s="37">
        <v>1262</v>
      </c>
      <c r="F84" s="55">
        <v>1728</v>
      </c>
      <c r="G84" s="94">
        <f>F84*100/E84</f>
        <v>136.9255150554675</v>
      </c>
      <c r="H84" s="72">
        <v>0</v>
      </c>
      <c r="I84" s="96">
        <v>0</v>
      </c>
      <c r="J84" s="97" t="s">
        <v>15</v>
      </c>
      <c r="K84" s="37">
        <f>N84+Q84+T84</f>
        <v>0</v>
      </c>
      <c r="L84" s="37">
        <f>O84+R84+U84</f>
        <v>0</v>
      </c>
      <c r="M84" s="118" t="s">
        <v>15</v>
      </c>
      <c r="N84" s="37">
        <v>0</v>
      </c>
      <c r="O84" s="55">
        <v>0</v>
      </c>
      <c r="P84" s="97" t="s">
        <v>15</v>
      </c>
      <c r="Q84" s="37">
        <v>0</v>
      </c>
      <c r="R84" s="55">
        <v>0</v>
      </c>
      <c r="S84" s="97" t="s">
        <v>15</v>
      </c>
      <c r="T84" s="37">
        <v>0</v>
      </c>
      <c r="U84" s="55">
        <v>0</v>
      </c>
      <c r="V84" s="97" t="s">
        <v>15</v>
      </c>
      <c r="W84" s="37">
        <f>E84-K84</f>
        <v>1262</v>
      </c>
      <c r="X84" s="37">
        <f>F84-L84</f>
        <v>1728</v>
      </c>
      <c r="Y84" s="101">
        <f>X84*100/W84</f>
        <v>136.9255150554675</v>
      </c>
    </row>
    <row r="85" spans="1:25" ht="11.25" customHeight="1">
      <c r="A85" s="18" t="s">
        <v>41</v>
      </c>
      <c r="B85" s="73"/>
      <c r="C85" s="44"/>
      <c r="D85" s="113"/>
      <c r="E85" s="46"/>
      <c r="F85" s="86"/>
      <c r="G85" s="45"/>
      <c r="H85" s="73"/>
      <c r="I85" s="44"/>
      <c r="J85" s="45"/>
      <c r="K85" s="46"/>
      <c r="L85" s="46"/>
      <c r="M85" s="45"/>
      <c r="N85" s="46"/>
      <c r="O85" s="86"/>
      <c r="P85" s="87"/>
      <c r="Q85" s="46"/>
      <c r="R85" s="86"/>
      <c r="S85" s="45"/>
      <c r="T85" s="46"/>
      <c r="U85" s="86"/>
      <c r="V85" s="87"/>
      <c r="W85" s="46"/>
      <c r="X85" s="46"/>
      <c r="Y85" s="47"/>
    </row>
    <row r="86" spans="1:25" ht="11.25" customHeight="1">
      <c r="A86" s="36" t="s">
        <v>45</v>
      </c>
      <c r="B86" s="72">
        <v>1200</v>
      </c>
      <c r="C86" s="96">
        <v>2114</v>
      </c>
      <c r="D86" s="94">
        <f>C86*100/B86</f>
        <v>176.16666666666666</v>
      </c>
      <c r="E86" s="37">
        <v>1200</v>
      </c>
      <c r="F86" s="55">
        <v>2240</v>
      </c>
      <c r="G86" s="94">
        <f>F86*100/E86</f>
        <v>186.66666666666666</v>
      </c>
      <c r="H86" s="72">
        <v>200</v>
      </c>
      <c r="I86" s="96">
        <v>0</v>
      </c>
      <c r="J86" s="94">
        <f>I86*100/H86</f>
        <v>0</v>
      </c>
      <c r="K86" s="37">
        <f>N86+Q86+T86</f>
        <v>200</v>
      </c>
      <c r="L86" s="37">
        <f>O86+R86+U86</f>
        <v>0</v>
      </c>
      <c r="M86" s="94">
        <f>L86*100/K86</f>
        <v>0</v>
      </c>
      <c r="N86" s="37">
        <v>0</v>
      </c>
      <c r="O86" s="55">
        <v>0</v>
      </c>
      <c r="P86" s="97" t="s">
        <v>15</v>
      </c>
      <c r="Q86" s="37">
        <v>200</v>
      </c>
      <c r="R86" s="55">
        <v>0</v>
      </c>
      <c r="S86" s="94">
        <f>R86*100/Q86</f>
        <v>0</v>
      </c>
      <c r="T86" s="37">
        <v>0</v>
      </c>
      <c r="U86" s="55">
        <v>0</v>
      </c>
      <c r="V86" s="97" t="s">
        <v>15</v>
      </c>
      <c r="W86" s="37">
        <f>E86-K86</f>
        <v>1000</v>
      </c>
      <c r="X86" s="37">
        <f>F86-L86</f>
        <v>2240</v>
      </c>
      <c r="Y86" s="101">
        <f>X86*100/W86</f>
        <v>224</v>
      </c>
    </row>
    <row r="87" spans="1:25" ht="11.25" customHeight="1">
      <c r="A87" s="18" t="s">
        <v>46</v>
      </c>
      <c r="B87" s="73"/>
      <c r="C87" s="44"/>
      <c r="D87" s="113"/>
      <c r="E87" s="46"/>
      <c r="F87" s="46"/>
      <c r="G87" s="45"/>
      <c r="H87" s="73"/>
      <c r="I87" s="44"/>
      <c r="J87" s="45"/>
      <c r="K87" s="46"/>
      <c r="L87" s="46"/>
      <c r="M87" s="87"/>
      <c r="N87" s="46"/>
      <c r="O87" s="46"/>
      <c r="P87" s="87"/>
      <c r="Q87" s="46"/>
      <c r="R87" s="46"/>
      <c r="S87" s="87"/>
      <c r="T87" s="46"/>
      <c r="U87" s="46"/>
      <c r="V87" s="87"/>
      <c r="W87" s="46"/>
      <c r="X87" s="46"/>
      <c r="Y87" s="47"/>
    </row>
    <row r="88" spans="1:25" ht="11.25" customHeight="1">
      <c r="A88" s="36" t="s">
        <v>47</v>
      </c>
      <c r="B88" s="72">
        <v>0</v>
      </c>
      <c r="C88" s="96">
        <v>0</v>
      </c>
      <c r="D88" s="97" t="s">
        <v>15</v>
      </c>
      <c r="E88" s="37">
        <v>0</v>
      </c>
      <c r="F88" s="55">
        <v>0</v>
      </c>
      <c r="G88" s="97" t="s">
        <v>15</v>
      </c>
      <c r="H88" s="132">
        <v>0</v>
      </c>
      <c r="I88" s="135">
        <v>0</v>
      </c>
      <c r="J88" s="97" t="s">
        <v>15</v>
      </c>
      <c r="K88" s="37">
        <f>N88+Q88+T88</f>
        <v>1071000</v>
      </c>
      <c r="L88" s="37">
        <f>O88+R88+U88</f>
        <v>1350428</v>
      </c>
      <c r="M88" s="94">
        <f>L88*100/K88</f>
        <v>126.09038281979458</v>
      </c>
      <c r="N88" s="37">
        <v>0</v>
      </c>
      <c r="O88" s="55">
        <v>0</v>
      </c>
      <c r="P88" s="97" t="s">
        <v>15</v>
      </c>
      <c r="Q88" s="37">
        <v>1071000</v>
      </c>
      <c r="R88" s="55">
        <v>1350428</v>
      </c>
      <c r="S88" s="94">
        <f>R88*100/Q88</f>
        <v>126.09038281979458</v>
      </c>
      <c r="T88" s="37">
        <v>0</v>
      </c>
      <c r="U88" s="55">
        <v>0</v>
      </c>
      <c r="V88" s="97" t="s">
        <v>15</v>
      </c>
      <c r="W88" s="37">
        <f>E88-K88</f>
        <v>-1071000</v>
      </c>
      <c r="X88" s="37">
        <f>F88-L88</f>
        <v>-1350428</v>
      </c>
      <c r="Y88" s="95" t="s">
        <v>15</v>
      </c>
    </row>
    <row r="89" spans="1:25" ht="11.25" customHeight="1">
      <c r="A89" s="18" t="s">
        <v>48</v>
      </c>
      <c r="B89" s="73"/>
      <c r="C89" s="44"/>
      <c r="D89" s="113"/>
      <c r="E89" s="46"/>
      <c r="F89" s="46"/>
      <c r="G89" s="87"/>
      <c r="H89" s="116"/>
      <c r="I89" s="117"/>
      <c r="J89" s="87"/>
      <c r="K89" s="46"/>
      <c r="L89" s="46"/>
      <c r="M89" s="87"/>
      <c r="N89" s="46"/>
      <c r="O89" s="46"/>
      <c r="P89" s="87"/>
      <c r="Q89" s="46"/>
      <c r="R89" s="46"/>
      <c r="S89" s="87"/>
      <c r="T89" s="46"/>
      <c r="U89" s="46"/>
      <c r="V89" s="87"/>
      <c r="W89" s="46"/>
      <c r="X89" s="46"/>
      <c r="Y89" s="119"/>
    </row>
    <row r="90" spans="1:25" ht="11.25" customHeight="1">
      <c r="A90" s="36" t="s">
        <v>49</v>
      </c>
      <c r="B90" s="72">
        <v>0</v>
      </c>
      <c r="C90" s="96">
        <v>0</v>
      </c>
      <c r="D90" s="97" t="s">
        <v>15</v>
      </c>
      <c r="E90" s="37">
        <v>0</v>
      </c>
      <c r="F90" s="55">
        <v>0</v>
      </c>
      <c r="G90" s="97" t="s">
        <v>15</v>
      </c>
      <c r="H90" s="132">
        <v>0</v>
      </c>
      <c r="I90" s="135">
        <v>0</v>
      </c>
      <c r="J90" s="97" t="s">
        <v>15</v>
      </c>
      <c r="K90" s="37">
        <f>N90+Q90+T90</f>
        <v>50000</v>
      </c>
      <c r="L90" s="37">
        <f>O90+R90+U90</f>
        <v>2646</v>
      </c>
      <c r="M90" s="94">
        <f>L90*100/K90</f>
        <v>5.292</v>
      </c>
      <c r="N90" s="37">
        <v>0</v>
      </c>
      <c r="O90" s="55">
        <v>0</v>
      </c>
      <c r="P90" s="97" t="s">
        <v>15</v>
      </c>
      <c r="Q90" s="37">
        <v>50000</v>
      </c>
      <c r="R90" s="55">
        <v>2646</v>
      </c>
      <c r="S90" s="94">
        <f>R90*100/Q90</f>
        <v>5.292</v>
      </c>
      <c r="T90" s="37">
        <v>0</v>
      </c>
      <c r="U90" s="55">
        <v>0</v>
      </c>
      <c r="V90" s="97" t="s">
        <v>15</v>
      </c>
      <c r="W90" s="37">
        <f>E90-K90</f>
        <v>-50000</v>
      </c>
      <c r="X90" s="37">
        <f>F90-L90</f>
        <v>-2646</v>
      </c>
      <c r="Y90" s="95" t="s">
        <v>15</v>
      </c>
    </row>
    <row r="91" spans="1:25" ht="11.25" customHeight="1">
      <c r="A91" s="18" t="s">
        <v>50</v>
      </c>
      <c r="B91" s="73"/>
      <c r="C91" s="44"/>
      <c r="D91" s="113"/>
      <c r="E91" s="46"/>
      <c r="F91" s="46"/>
      <c r="G91" s="87"/>
      <c r="H91" s="116"/>
      <c r="I91" s="117"/>
      <c r="J91" s="87"/>
      <c r="K91" s="46"/>
      <c r="L91" s="46"/>
      <c r="M91" s="87"/>
      <c r="N91" s="46"/>
      <c r="O91" s="46"/>
      <c r="P91" s="87"/>
      <c r="Q91" s="46"/>
      <c r="R91" s="46"/>
      <c r="S91" s="87"/>
      <c r="T91" s="46"/>
      <c r="U91" s="46"/>
      <c r="V91" s="87"/>
      <c r="W91" s="46"/>
      <c r="X91" s="46"/>
      <c r="Y91" s="119"/>
    </row>
    <row r="92" spans="1:25" ht="11.25" customHeight="1">
      <c r="A92" s="36" t="s">
        <v>51</v>
      </c>
      <c r="B92" s="72">
        <v>0</v>
      </c>
      <c r="C92" s="96">
        <v>0</v>
      </c>
      <c r="D92" s="97" t="s">
        <v>15</v>
      </c>
      <c r="E92" s="37">
        <v>0</v>
      </c>
      <c r="F92" s="55">
        <v>0</v>
      </c>
      <c r="G92" s="97" t="s">
        <v>15</v>
      </c>
      <c r="H92" s="132">
        <v>0</v>
      </c>
      <c r="I92" s="135">
        <v>0</v>
      </c>
      <c r="J92" s="97" t="s">
        <v>15</v>
      </c>
      <c r="K92" s="37">
        <f>N92+Q92+T92</f>
        <v>50000</v>
      </c>
      <c r="L92" s="37">
        <f>O92+R92+U92</f>
        <v>260562</v>
      </c>
      <c r="M92" s="94">
        <f>L92*100/K92</f>
        <v>521.124</v>
      </c>
      <c r="N92" s="37">
        <v>0</v>
      </c>
      <c r="O92" s="55">
        <v>0</v>
      </c>
      <c r="P92" s="97" t="s">
        <v>15</v>
      </c>
      <c r="Q92" s="37">
        <v>50000</v>
      </c>
      <c r="R92" s="55">
        <f>646+259916</f>
        <v>260562</v>
      </c>
      <c r="S92" s="94">
        <f>R92*100/Q92</f>
        <v>521.124</v>
      </c>
      <c r="T92" s="37">
        <v>0</v>
      </c>
      <c r="U92" s="55">
        <v>0</v>
      </c>
      <c r="V92" s="97" t="s">
        <v>15</v>
      </c>
      <c r="W92" s="37">
        <f>E92-K92</f>
        <v>-50000</v>
      </c>
      <c r="X92" s="37">
        <f>F92-L92</f>
        <v>-260562</v>
      </c>
      <c r="Y92" s="95" t="s">
        <v>15</v>
      </c>
    </row>
    <row r="93" spans="1:25" ht="11.25" customHeight="1" thickBot="1">
      <c r="A93" s="64" t="s">
        <v>52</v>
      </c>
      <c r="B93" s="130">
        <v>0</v>
      </c>
      <c r="C93" s="137">
        <v>0</v>
      </c>
      <c r="D93" s="83" t="s">
        <v>15</v>
      </c>
      <c r="E93" s="129">
        <v>0</v>
      </c>
      <c r="F93" s="84">
        <v>0</v>
      </c>
      <c r="G93" s="83" t="s">
        <v>15</v>
      </c>
      <c r="H93" s="131">
        <f>K93</f>
        <v>51627</v>
      </c>
      <c r="I93" s="138">
        <f>L93</f>
        <v>883</v>
      </c>
      <c r="J93" s="112">
        <f>I93*100/H93</f>
        <v>1.7103453619230247</v>
      </c>
      <c r="K93" s="80">
        <f>N93+Q93+T93</f>
        <v>51627</v>
      </c>
      <c r="L93" s="80">
        <f>O93+R93+U93</f>
        <v>883</v>
      </c>
      <c r="M93" s="112">
        <f>L93*100/K93</f>
        <v>1.7103453619230247</v>
      </c>
      <c r="N93" s="129">
        <v>0</v>
      </c>
      <c r="O93" s="84">
        <v>0</v>
      </c>
      <c r="P93" s="83" t="s">
        <v>15</v>
      </c>
      <c r="Q93" s="129">
        <v>29715</v>
      </c>
      <c r="R93" s="84">
        <v>422</v>
      </c>
      <c r="S93" s="112">
        <f>R93*100/Q93</f>
        <v>1.4201581692747771</v>
      </c>
      <c r="T93" s="129">
        <v>21912</v>
      </c>
      <c r="U93" s="84">
        <v>461</v>
      </c>
      <c r="V93" s="112">
        <f>U93*100/T93</f>
        <v>2.1038700255567724</v>
      </c>
      <c r="W93" s="80">
        <f>E93-K93</f>
        <v>-51627</v>
      </c>
      <c r="X93" s="80">
        <f>F93-L93</f>
        <v>-883</v>
      </c>
      <c r="Y93" s="85" t="s">
        <v>15</v>
      </c>
    </row>
    <row r="94" spans="1:25" ht="11.25" customHeight="1">
      <c r="A94" s="41" t="s">
        <v>58</v>
      </c>
      <c r="B94" s="75"/>
      <c r="C94" s="76"/>
      <c r="D94" s="42"/>
      <c r="E94" s="46"/>
      <c r="F94" s="46"/>
      <c r="G94" s="45"/>
      <c r="H94" s="73"/>
      <c r="I94" s="44"/>
      <c r="J94" s="45"/>
      <c r="K94" s="46"/>
      <c r="L94" s="46"/>
      <c r="M94" s="45"/>
      <c r="N94" s="46"/>
      <c r="O94" s="46"/>
      <c r="P94" s="45"/>
      <c r="Q94" s="46"/>
      <c r="R94" s="46"/>
      <c r="S94" s="45"/>
      <c r="T94" s="46"/>
      <c r="U94" s="46"/>
      <c r="V94" s="45"/>
      <c r="W94" s="46"/>
      <c r="X94" s="46"/>
      <c r="Y94" s="47"/>
    </row>
    <row r="95" spans="1:25" ht="11.25" customHeight="1" thickBot="1">
      <c r="A95" s="48" t="s">
        <v>59</v>
      </c>
      <c r="B95" s="68">
        <f>B22+B34+B35+B36+B37+B38+B40+B72+B74+B76+B78+B80+B82+B84+B86+B88+B90+B92+B93</f>
        <v>2054717</v>
      </c>
      <c r="C95" s="57">
        <f>C22+C34+C35+C36+C37+C38+C40+C72+C74+C76+C78+C80+C82+C84+C86+C88+C90+C92+C93</f>
        <v>2489804</v>
      </c>
      <c r="D95" s="52">
        <f>C95*100/B95</f>
        <v>121.1750328634065</v>
      </c>
      <c r="E95" s="53">
        <f>E22+E34+E35+E36+E37+E38+E40+E72+E74+E76+E78+E80+E82+E84+E86+E88+E90+E92+E93</f>
        <v>3109335</v>
      </c>
      <c r="F95" s="53">
        <f>F22+F34+F35+F36+F37+F38+F40+F72+F74+F76+F78+F80+F82+F84+F86+F88+F90+F92+F93</f>
        <v>3413277</v>
      </c>
      <c r="G95" s="52">
        <f>F95*100/E95</f>
        <v>109.77514484608446</v>
      </c>
      <c r="H95" s="68">
        <f>H22+H34+H35+H36+H37+H38+H40+H72+H74+H76+H78+H80+H82+H84+H86+H88+H90+H92+H93</f>
        <v>1004815</v>
      </c>
      <c r="I95" s="57">
        <f>I22+I34+I35+I36+I37+I38+I40+I72+I74+I76+I78+I80+I82+I84+I86+I88+I90+I92+I93</f>
        <v>929675</v>
      </c>
      <c r="J95" s="52">
        <f>I95*100/H95</f>
        <v>92.52200653851705</v>
      </c>
      <c r="K95" s="53">
        <f>K22+K34+K35+K36+K37+K38+K40+K72+K74+K76+K78+K80+K82+K84+K86+K88+K90+K92+K93</f>
        <v>2753314</v>
      </c>
      <c r="L95" s="53">
        <f>L22+L34+L35+L36+L37+L38+L40+L72+L74+L76+L78+L80+L82+L84+L86+L88+L90+L92+L93</f>
        <v>3116055</v>
      </c>
      <c r="M95" s="52">
        <f>L95*100/K95</f>
        <v>113.17470510083484</v>
      </c>
      <c r="N95" s="53">
        <f>N22+N34+N35+N36+N37+N38+N40+N72+N74+N76+N78+N80+N82+N84+N86+N88+N90+N92+N93</f>
        <v>125569</v>
      </c>
      <c r="O95" s="53">
        <f>O22+O34+O35+O36+O37+O38+O40+O72+O74+O76+O78+O80+O82+O84+O86+O88+O90+O92+O93</f>
        <v>140716</v>
      </c>
      <c r="P95" s="52">
        <f>O95*100/N95</f>
        <v>112.06269063224204</v>
      </c>
      <c r="Q95" s="53">
        <f>Q22+Q34+Q35+Q36+Q37+Q38+Q40+Q72+Q74+Q76+Q78+Q80+Q82+Q84+Q86+Q88+Q90+Q92+Q93</f>
        <v>1471128</v>
      </c>
      <c r="R95" s="53">
        <f>R22+R34+R35+R36+R37+R38+R40+R72+R74+R76+R78+R80+R82+R84+R86+R88+R90+R92+R93</f>
        <v>1830938</v>
      </c>
      <c r="S95" s="52">
        <f>R95*100/Q95</f>
        <v>124.45810289791235</v>
      </c>
      <c r="T95" s="53">
        <f>T22+T34+T35+T36+T37+T38+T40+T72+T74+T76+T78+T80+T82+T84+T86+T88+T90+T92+T93</f>
        <v>1156617</v>
      </c>
      <c r="U95" s="53">
        <f>U22+U34+U35+U36+U37+U38+U40+U72+U74+U76+U78+U80+U82+U84+U86+U88+U90+U92+U93</f>
        <v>1144401</v>
      </c>
      <c r="V95" s="52">
        <f>U95*100/T95</f>
        <v>98.94381631949038</v>
      </c>
      <c r="W95" s="53">
        <f>W22+W34+W35+W36+W37+W38+W40+W72+W74+W76+W78+W80+W82+W84+W86+W88+W90+W92+W93</f>
        <v>356021</v>
      </c>
      <c r="X95" s="53">
        <f>X22+X34+X35+X36+X37+X38+X40+X72+X74+X76+X78+X80+X82+X84+X86+X88+X90+X92+X93</f>
        <v>297222</v>
      </c>
      <c r="Y95" s="54">
        <f>X95*100/W95</f>
        <v>83.48440120105275</v>
      </c>
    </row>
    <row r="96" spans="1:25" ht="11.25" customHeight="1">
      <c r="A96" s="79" t="s">
        <v>70</v>
      </c>
      <c r="B96" s="139">
        <v>600000</v>
      </c>
      <c r="C96" s="140">
        <v>697465</v>
      </c>
      <c r="D96" s="120">
        <f>C96*100/B96</f>
        <v>116.24416666666667</v>
      </c>
      <c r="E96" s="141">
        <v>600000</v>
      </c>
      <c r="F96" s="142">
        <v>697465</v>
      </c>
      <c r="G96" s="120">
        <f>F96*100/E96</f>
        <v>116.24416666666667</v>
      </c>
      <c r="H96" s="139">
        <v>600000</v>
      </c>
      <c r="I96" s="140">
        <v>697465</v>
      </c>
      <c r="J96" s="120">
        <f>I96*100/H96</f>
        <v>116.24416666666667</v>
      </c>
      <c r="K96" s="121">
        <f>N96+Q96+T96</f>
        <v>600000</v>
      </c>
      <c r="L96" s="121">
        <f>O96+R96+U96</f>
        <v>697465</v>
      </c>
      <c r="M96" s="120">
        <f>L96*100/K96</f>
        <v>116.24416666666667</v>
      </c>
      <c r="N96" s="143">
        <v>0</v>
      </c>
      <c r="O96" s="143">
        <v>0</v>
      </c>
      <c r="P96" s="122" t="s">
        <v>15</v>
      </c>
      <c r="Q96" s="143">
        <v>600000</v>
      </c>
      <c r="R96" s="143">
        <v>697465</v>
      </c>
      <c r="S96" s="120">
        <f>R96*100/Q96</f>
        <v>116.24416666666667</v>
      </c>
      <c r="T96" s="143">
        <v>0</v>
      </c>
      <c r="U96" s="143">
        <v>0</v>
      </c>
      <c r="V96" s="122" t="s">
        <v>15</v>
      </c>
      <c r="W96" s="121">
        <f>E96-K96</f>
        <v>0</v>
      </c>
      <c r="X96" s="121">
        <f>F96-L96</f>
        <v>0</v>
      </c>
      <c r="Y96" s="123" t="s">
        <v>15</v>
      </c>
    </row>
    <row r="97" spans="1:25" ht="12" customHeight="1" thickBot="1">
      <c r="A97" s="64" t="s">
        <v>71</v>
      </c>
      <c r="B97" s="144">
        <v>0</v>
      </c>
      <c r="C97" s="137">
        <v>0</v>
      </c>
      <c r="D97" s="83" t="s">
        <v>15</v>
      </c>
      <c r="E97" s="145">
        <v>0</v>
      </c>
      <c r="F97" s="138">
        <v>0</v>
      </c>
      <c r="G97" s="83" t="s">
        <v>15</v>
      </c>
      <c r="H97" s="144">
        <v>0</v>
      </c>
      <c r="I97" s="137">
        <v>0</v>
      </c>
      <c r="J97" s="83" t="s">
        <v>15</v>
      </c>
      <c r="K97" s="80">
        <f>N97+Q97+T97</f>
        <v>0</v>
      </c>
      <c r="L97" s="80">
        <f>O97+R97+U97</f>
        <v>205294</v>
      </c>
      <c r="M97" s="83" t="s">
        <v>15</v>
      </c>
      <c r="N97" s="84">
        <v>0</v>
      </c>
      <c r="O97" s="84">
        <v>0</v>
      </c>
      <c r="P97" s="83" t="s">
        <v>15</v>
      </c>
      <c r="Q97" s="84">
        <v>0</v>
      </c>
      <c r="R97" s="84">
        <v>205294</v>
      </c>
      <c r="S97" s="83" t="s">
        <v>15</v>
      </c>
      <c r="T97" s="84">
        <v>0</v>
      </c>
      <c r="U97" s="84">
        <v>0</v>
      </c>
      <c r="V97" s="83" t="s">
        <v>15</v>
      </c>
      <c r="W97" s="84">
        <f>E97-K97</f>
        <v>0</v>
      </c>
      <c r="X97" s="80">
        <f>F97-L97</f>
        <v>-205294</v>
      </c>
      <c r="Y97" s="85" t="s">
        <v>15</v>
      </c>
    </row>
    <row r="98" spans="1:25" ht="13.5" thickBot="1">
      <c r="A98" s="48" t="s">
        <v>72</v>
      </c>
      <c r="B98" s="81">
        <f>B95+B96+B97</f>
        <v>2654717</v>
      </c>
      <c r="C98" s="82">
        <f>C95+C96+C97</f>
        <v>3187269</v>
      </c>
      <c r="D98" s="52">
        <f>C98*100/B98</f>
        <v>120.06059402942009</v>
      </c>
      <c r="E98" s="81">
        <f>E95+E96+E97</f>
        <v>3709335</v>
      </c>
      <c r="F98" s="82">
        <f>F95+F96+F97</f>
        <v>4110742</v>
      </c>
      <c r="G98" s="52">
        <f>F98*100/E98</f>
        <v>110.82153539650638</v>
      </c>
      <c r="H98" s="81">
        <f>H95+H96+H97</f>
        <v>1604815</v>
      </c>
      <c r="I98" s="82">
        <f>I95+I96+I97</f>
        <v>1627140</v>
      </c>
      <c r="J98" s="52">
        <f>I98*100/H98</f>
        <v>101.39112607995314</v>
      </c>
      <c r="K98" s="81">
        <f>K95+K96+K97</f>
        <v>3353314</v>
      </c>
      <c r="L98" s="82">
        <f>L95+L96+L97</f>
        <v>4018814</v>
      </c>
      <c r="M98" s="52">
        <f>L98*100/K98</f>
        <v>119.84603887378277</v>
      </c>
      <c r="N98" s="81">
        <f>N95+N96+N97</f>
        <v>125569</v>
      </c>
      <c r="O98" s="82">
        <f>O95+O96+O97</f>
        <v>140716</v>
      </c>
      <c r="P98" s="52">
        <f>O98*100/N98</f>
        <v>112.06269063224204</v>
      </c>
      <c r="Q98" s="81">
        <f>Q95+Q96+Q97</f>
        <v>2071128</v>
      </c>
      <c r="R98" s="82">
        <f>R95+R96+R97</f>
        <v>2733697</v>
      </c>
      <c r="S98" s="52">
        <f>R98*100/Q98</f>
        <v>131.99073162064343</v>
      </c>
      <c r="T98" s="81">
        <f>T95+T96+T97</f>
        <v>1156617</v>
      </c>
      <c r="U98" s="82">
        <f>U95+U96+U97</f>
        <v>1144401</v>
      </c>
      <c r="V98" s="52">
        <f>U98*100/T98</f>
        <v>98.94381631949038</v>
      </c>
      <c r="W98" s="81">
        <f>W95+W96+W97</f>
        <v>356021</v>
      </c>
      <c r="X98" s="82">
        <f>X95+X96+X97</f>
        <v>91928</v>
      </c>
      <c r="Y98" s="54">
        <f>X98*100/W98</f>
        <v>25.820948764258286</v>
      </c>
    </row>
    <row r="99" spans="1:4" ht="12" customHeight="1">
      <c r="A99" s="5"/>
      <c r="B99" s="5"/>
      <c r="C99" s="5"/>
      <c r="D99" s="5"/>
    </row>
    <row r="100" spans="1:2" ht="12.75">
      <c r="A100" s="5" t="s">
        <v>75</v>
      </c>
      <c r="B100" s="5" t="s">
        <v>77</v>
      </c>
    </row>
    <row r="101" ht="12.75">
      <c r="B101" s="5" t="s">
        <v>76</v>
      </c>
    </row>
    <row r="104" ht="12.75">
      <c r="A104" s="7"/>
    </row>
    <row r="105" ht="12.75">
      <c r="A105" s="7"/>
    </row>
    <row r="106" ht="12.75">
      <c r="A106" s="7"/>
    </row>
  </sheetData>
  <mergeCells count="5">
    <mergeCell ref="S4:Y4"/>
    <mergeCell ref="E11:G11"/>
    <mergeCell ref="B11:D11"/>
    <mergeCell ref="E61:G61"/>
    <mergeCell ref="B61:D61"/>
  </mergeCells>
  <printOptions/>
  <pageMargins left="0.7874015748031497" right="0.5905511811023623" top="0.7874015748031497" bottom="0.5905511811023623" header="0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</cp:lastModifiedBy>
  <cp:lastPrinted>2006-04-03T09:08:56Z</cp:lastPrinted>
  <dcterms:created xsi:type="dcterms:W3CDTF">1997-01-24T11:07:25Z</dcterms:created>
  <dcterms:modified xsi:type="dcterms:W3CDTF">2006-05-15T11:44:21Z</dcterms:modified>
  <cp:category/>
  <cp:version/>
  <cp:contentType/>
  <cp:contentStatus/>
</cp:coreProperties>
</file>