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100" windowHeight="6045" activeTab="0"/>
  </bookViews>
  <sheets>
    <sheet name="MČ 1-57" sheetId="1" r:id="rId1"/>
  </sheets>
  <definedNames>
    <definedName name="_xlnm.Print_Titles" localSheetId="0">'MČ 1-57'!$A:$B</definedName>
  </definedNames>
  <calcPr fullCalcOnLoad="1"/>
</workbook>
</file>

<file path=xl/sharedStrings.xml><?xml version="1.0" encoding="utf-8"?>
<sst xmlns="http://schemas.openxmlformats.org/spreadsheetml/2006/main" count="117" uniqueCount="112">
  <si>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</si>
  <si>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</si>
  <si>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</si>
  <si>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</si>
  <si>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</si>
  <si>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</si>
  <si>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</si>
  <si>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</si>
  <si>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</si>
  <si>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</si>
  <si>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</si>
  <si>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</si>
  <si>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</si>
  <si>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</si>
  <si>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</si>
  <si>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</si>
  <si>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</si>
  <si>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</si>
  <si>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</si>
  <si>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</si>
  <si>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</si>
  <si>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</si>
  <si>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</si>
  <si>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</si>
  <si>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</si>
  <si>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</si>
  <si>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</si>
  <si>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</si>
  <si>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</si>
  <si>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</si>
  <si>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</si>
  <si>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</si>
  <si>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</si>
  <si>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</si>
  <si>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</si>
  <si>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</si>
  <si>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</si>
  <si>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</si>
  <si>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</si>
  <si>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</si>
  <si>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</si>
  <si>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</si>
  <si>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</si>
  <si>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</si>
  <si>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</si>
  <si>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</si>
  <si>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</si>
  <si>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</si>
  <si>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</si>
  <si>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</si>
  <si>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</si>
  <si>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</si>
  <si>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</si>
  <si>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</si>
  <si>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</si>
  <si>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</si>
  <si>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</si>
  <si>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</si>
  <si>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</si>
  <si>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</si>
  <si>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</si>
  <si>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</si>
  <si>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4.</t>
  </si>
  <si>
    <t>Dorovnání z rozpočtu HMP celkem</t>
  </si>
  <si>
    <t>5.</t>
  </si>
  <si>
    <t>Úhrn zdrojů fin. vypořádání   (ř.3 a ř.4)</t>
  </si>
  <si>
    <t>B: POTŘEBY finančního vypořádání</t>
  </si>
  <si>
    <t>6.</t>
  </si>
  <si>
    <t>Odvody do SR  c e l k e m</t>
  </si>
  <si>
    <t>7.</t>
  </si>
  <si>
    <t>8.</t>
  </si>
  <si>
    <t>Úhrn potřeb (ř.6 a ř.7)</t>
  </si>
  <si>
    <t>9.</t>
  </si>
  <si>
    <t>Saldo FV (ř.5 - ř.8)</t>
  </si>
  <si>
    <t>10.</t>
  </si>
  <si>
    <t xml:space="preserve">         PŘEHLED FINANČNÍHO VYPOŘÁDÁNÍ            </t>
  </si>
  <si>
    <t>MČ celkem</t>
  </si>
  <si>
    <t>v Kč</t>
  </si>
  <si>
    <t>a/ vůči SR</t>
  </si>
  <si>
    <t>Ostatní závazky:</t>
  </si>
  <si>
    <t>c/ vůči státním fondům</t>
  </si>
  <si>
    <t xml:space="preserve">           - ostatní</t>
  </si>
  <si>
    <t>zkoušky zvláštní odborné způsobilosti</t>
  </si>
  <si>
    <t>doplatky místních poplatků</t>
  </si>
  <si>
    <t>vratky ostat.účel.prostř. MF ČR-kap.VPS</t>
  </si>
  <si>
    <t>vratky účel prostř.ost.rezotr.min./st.fondům</t>
  </si>
  <si>
    <t>Dorovnání dotací ze SR  c e l k e m</t>
  </si>
  <si>
    <t>Odvody do rozpočtu HMP   c e l k e m</t>
  </si>
  <si>
    <t>b/ vůči rozpočtu HMP</t>
  </si>
  <si>
    <t>z toho: - z půjčky z FOMBF HMP</t>
  </si>
  <si>
    <t>d/ vůči jiným MČ HMP</t>
  </si>
  <si>
    <t>Celkem odvod na MF</t>
  </si>
  <si>
    <t>Odvod rezorty a st. fondy</t>
  </si>
  <si>
    <t xml:space="preserve">z toho: </t>
  </si>
  <si>
    <t>Saldo státních prostředků (ř.3 - ř.6)</t>
  </si>
  <si>
    <t>Saldo prostředků MHMP (ř. 4 - ř.7)</t>
  </si>
  <si>
    <t xml:space="preserve">            přeplatky místních poplatků</t>
  </si>
  <si>
    <t>sociálně-právní ochrana dětí  ÚZ 13011</t>
  </si>
  <si>
    <t>výkon pěstounské péče  ÚZ 13010</t>
  </si>
  <si>
    <t xml:space="preserve">vratka nedočerp.dotace poskytnuté městskou částí hl.m. Praze ÚZ 79                                                                                                                                                   </t>
  </si>
  <si>
    <t>ostatní doplatky</t>
  </si>
  <si>
    <t>ostatní vratky</t>
  </si>
  <si>
    <t>ZA ROK 2016 S MČ HL. M. PRAHY</t>
  </si>
  <si>
    <t>volby do Senátu PČR  ÚZ 98193</t>
  </si>
  <si>
    <t>volby do zastupitelstev obcí   UZ 98074</t>
  </si>
  <si>
    <t>participativní rozpočty</t>
  </si>
  <si>
    <t>vratky účel.prostř. r. 2014 a 2015, u nichž je vyúčtování stanoveno na r. 2016 (granty)</t>
  </si>
  <si>
    <t xml:space="preserve">         vratky účel. prostř. r. 2016-neinvestiční</t>
  </si>
  <si>
    <t xml:space="preserve">         vratky účel. prostř. r. 2016-investiční</t>
  </si>
  <si>
    <r>
      <t xml:space="preserve">vratky účel. prostř.r.2015 </t>
    </r>
    <r>
      <rPr>
        <sz val="8"/>
        <rFont val="Arial CE"/>
        <family val="0"/>
      </rPr>
      <t>(popř.předchozích let)-neinvestiční</t>
    </r>
  </si>
  <si>
    <r>
      <t xml:space="preserve">vratky účel. prostř.r.2015 </t>
    </r>
    <r>
      <rPr>
        <sz val="8"/>
        <rFont val="Arial CE"/>
        <family val="0"/>
      </rPr>
      <t>(popř.předchozích let)-investiční</t>
    </r>
  </si>
  <si>
    <t>Příloha č. 8 k usnesení Zastupitelstva HMP č. 28/13 ze dne 15. 6.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</si>
</sst>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20" xfId="0" applyFont="1" applyBorder="1" applyAlignment="1">
      <alignment horizontal="left"/>
    </xf>
    <xf numFmtId="4" fontId="1" fillId="0" borderId="21" xfId="0" applyNumberFormat="1" applyFont="1" applyBorder="1" applyAlignment="1">
      <alignment/>
    </xf>
    <xf numFmtId="0" fontId="0" fillId="0" borderId="20" xfId="0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wrapText="1"/>
    </xf>
    <xf numFmtId="4" fontId="0" fillId="0" borderId="21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0" xfId="0" applyAlignment="1">
      <alignment wrapText="1"/>
    </xf>
    <xf numFmtId="49" fontId="3" fillId="0" borderId="16" xfId="0" applyNumberFormat="1" applyFont="1" applyBorder="1" applyAlignment="1">
      <alignment horizontal="left" indent="3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 indent="3"/>
    </xf>
    <xf numFmtId="49" fontId="1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indent="3"/>
    </xf>
    <xf numFmtId="49" fontId="3" fillId="0" borderId="16" xfId="0" applyNumberFormat="1" applyFont="1" applyBorder="1" applyAlignment="1">
      <alignment horizontal="left" wrapText="1" indent="3"/>
    </xf>
    <xf numFmtId="49" fontId="3" fillId="0" borderId="16" xfId="0" applyNumberFormat="1" applyFont="1" applyFill="1" applyBorder="1" applyAlignment="1">
      <alignment horizontal="left" wrapText="1" indent="3"/>
    </xf>
    <xf numFmtId="49" fontId="0" fillId="0" borderId="16" xfId="0" applyNumberForma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horizontal="left" indent="3"/>
    </xf>
    <xf numFmtId="49" fontId="3" fillId="0" borderId="14" xfId="0" applyNumberFormat="1" applyFont="1" applyBorder="1" applyAlignment="1">
      <alignment horizontal="left" indent="3"/>
    </xf>
    <xf numFmtId="49" fontId="0" fillId="0" borderId="14" xfId="0" applyNumberFormat="1" applyFont="1" applyBorder="1" applyAlignment="1">
      <alignment/>
    </xf>
    <xf numFmtId="49" fontId="0" fillId="0" borderId="14" xfId="0" applyNumberFormat="1" applyBorder="1" applyAlignment="1">
      <alignment horizontal="left" wrapText="1" indent="3"/>
    </xf>
    <xf numFmtId="49" fontId="2" fillId="0" borderId="22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49" fontId="0" fillId="0" borderId="0" xfId="0" applyNumberFormat="1" applyAlignment="1">
      <alignment/>
    </xf>
    <xf numFmtId="4" fontId="1" fillId="0" borderId="14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4" fontId="1" fillId="0" borderId="0" xfId="0" applyNumberFormat="1" applyFont="1" applyFill="1" applyBorder="1" applyAlignment="1">
      <alignment wrapText="1"/>
    </xf>
    <xf numFmtId="49" fontId="0" fillId="0" borderId="14" xfId="0" applyNumberFormat="1" applyFill="1" applyBorder="1" applyAlignment="1">
      <alignment horizontal="left" wrapText="1" indent="3"/>
    </xf>
    <xf numFmtId="4" fontId="1" fillId="0" borderId="14" xfId="0" applyNumberFormat="1" applyFont="1" applyFill="1" applyBorder="1" applyAlignment="1">
      <alignment wrapText="1"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" sqref="C2"/>
    </sheetView>
  </sheetViews>
  <sheetFormatPr defaultColWidth="9.00390625" defaultRowHeight="12.75"/>
  <cols>
    <col min="1" max="1" width="4.00390625" style="0" customWidth="1"/>
    <col min="2" max="2" width="42.875" style="97" customWidth="1"/>
    <col min="3" max="3" width="17.125" style="3" customWidth="1"/>
    <col min="4" max="4" width="13.75390625" style="3" customWidth="1"/>
    <col min="5" max="5" width="14.00390625" style="3" bestFit="1" customWidth="1"/>
    <col min="6" max="6" width="13.375" style="3" customWidth="1"/>
    <col min="7" max="7" width="13.75390625" style="3" customWidth="1"/>
    <col min="8" max="8" width="14.125" style="3" customWidth="1"/>
    <col min="9" max="9" width="13.625" style="3" customWidth="1"/>
    <col min="10" max="10" width="13.375" style="3" bestFit="1" customWidth="1"/>
    <col min="11" max="12" width="14.00390625" style="3" customWidth="1"/>
    <col min="13" max="14" width="13.375" style="3" customWidth="1"/>
    <col min="15" max="15" width="13.75390625" style="3" customWidth="1"/>
    <col min="16" max="16" width="14.00390625" style="3" customWidth="1"/>
    <col min="17" max="17" width="14.00390625" style="3" bestFit="1" customWidth="1"/>
    <col min="18" max="18" width="14.125" style="3" customWidth="1"/>
    <col min="19" max="19" width="13.625" style="3" customWidth="1"/>
    <col min="20" max="20" width="13.375" style="3" customWidth="1"/>
    <col min="21" max="21" width="12.875" style="3" customWidth="1"/>
    <col min="22" max="22" width="13.25390625" style="3" customWidth="1"/>
    <col min="23" max="23" width="13.75390625" style="3" customWidth="1"/>
    <col min="24" max="24" width="14.00390625" style="3" bestFit="1" customWidth="1"/>
    <col min="25" max="25" width="13.25390625" style="3" customWidth="1"/>
    <col min="26" max="26" width="13.625" style="3" customWidth="1"/>
    <col min="27" max="27" width="10.25390625" style="3" bestFit="1" customWidth="1"/>
    <col min="28" max="28" width="13.625" style="3" customWidth="1"/>
    <col min="29" max="29" width="13.75390625" style="3" customWidth="1"/>
    <col min="30" max="30" width="14.125" style="3" customWidth="1"/>
    <col min="31" max="31" width="13.75390625" style="3" customWidth="1"/>
    <col min="32" max="32" width="14.125" style="3" customWidth="1"/>
    <col min="33" max="33" width="12.875" style="3" customWidth="1"/>
    <col min="34" max="34" width="12.75390625" style="3" customWidth="1"/>
    <col min="35" max="35" width="13.875" style="3" customWidth="1"/>
    <col min="36" max="36" width="14.625" style="3" customWidth="1"/>
    <col min="37" max="37" width="10.25390625" style="3" bestFit="1" customWidth="1"/>
    <col min="38" max="38" width="12.875" style="3" customWidth="1"/>
    <col min="39" max="39" width="12.625" style="3" customWidth="1"/>
    <col min="40" max="40" width="14.125" style="3" customWidth="1"/>
    <col min="41" max="41" width="13.875" style="3" customWidth="1"/>
    <col min="42" max="42" width="12.75390625" style="3" customWidth="1"/>
    <col min="43" max="43" width="10.875" style="3" customWidth="1"/>
    <col min="44" max="44" width="14.00390625" style="3" customWidth="1"/>
    <col min="45" max="45" width="13.75390625" style="3" customWidth="1"/>
    <col min="46" max="46" width="11.125" style="3" customWidth="1"/>
    <col min="47" max="47" width="12.375" style="3" customWidth="1"/>
    <col min="48" max="48" width="12.875" style="3" customWidth="1"/>
    <col min="49" max="49" width="12.875" style="4" customWidth="1"/>
    <col min="50" max="50" width="13.00390625" style="3" customWidth="1"/>
    <col min="51" max="51" width="13.625" style="3" customWidth="1"/>
    <col min="52" max="52" width="13.375" style="3" customWidth="1"/>
    <col min="53" max="54" width="14.00390625" style="3" customWidth="1"/>
    <col min="55" max="55" width="12.875" style="3" customWidth="1"/>
    <col min="56" max="56" width="13.75390625" style="3" customWidth="1"/>
    <col min="57" max="57" width="14.00390625" style="3" customWidth="1"/>
    <col min="58" max="58" width="12.875" style="3" customWidth="1"/>
    <col min="59" max="59" width="13.875" style="3" customWidth="1"/>
    <col min="60" max="60" width="14.25390625" style="3" customWidth="1"/>
    <col min="61" max="61" width="10.75390625" style="0" customWidth="1"/>
    <col min="62" max="62" width="11.75390625" style="0" bestFit="1" customWidth="1"/>
    <col min="63" max="63" width="15.375" style="0" customWidth="1"/>
    <col min="64" max="65" width="10.75390625" style="0" customWidth="1"/>
  </cols>
  <sheetData>
    <row r="1" spans="1:2" ht="15.75">
      <c r="A1" s="104" t="s">
        <v>111</v>
      </c>
      <c r="B1" s="67"/>
    </row>
    <row r="3" spans="2:60" ht="12.75">
      <c r="B3" s="68" t="s">
        <v>75</v>
      </c>
      <c r="C3" s="1"/>
      <c r="D3" s="2"/>
      <c r="H3" s="2"/>
      <c r="L3" s="2"/>
      <c r="P3" s="2"/>
      <c r="T3" s="2"/>
      <c r="X3" s="2"/>
      <c r="AB3" s="2"/>
      <c r="AF3" s="2"/>
      <c r="AJ3" s="2"/>
      <c r="AN3" s="2"/>
      <c r="AR3" s="2"/>
      <c r="AV3" s="2"/>
      <c r="AZ3" s="2"/>
      <c r="BD3" s="2"/>
      <c r="BH3" s="2"/>
    </row>
    <row r="4" spans="2:60" ht="12.75">
      <c r="B4" s="69" t="s">
        <v>102</v>
      </c>
      <c r="C4" s="1"/>
      <c r="D4" s="2"/>
      <c r="H4" s="2"/>
      <c r="L4" s="2"/>
      <c r="P4" s="2"/>
      <c r="T4" s="2"/>
      <c r="X4" s="2"/>
      <c r="AB4" s="2"/>
      <c r="AF4" s="2"/>
      <c r="AJ4" s="2"/>
      <c r="AN4" s="2"/>
      <c r="AR4" s="2"/>
      <c r="AV4" s="2"/>
      <c r="AZ4" s="2"/>
      <c r="BD4" s="2"/>
      <c r="BH4" s="2"/>
    </row>
    <row r="5" spans="2:60" ht="12.75">
      <c r="B5" s="69"/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2:60" ht="12.75">
      <c r="B6" s="69"/>
      <c r="C6" s="1"/>
      <c r="D6" s="2"/>
      <c r="H6" s="2"/>
      <c r="L6" s="2"/>
      <c r="P6" s="2"/>
      <c r="T6" s="2"/>
      <c r="X6" s="2"/>
      <c r="AB6" s="2"/>
      <c r="AF6" s="2"/>
      <c r="AJ6" s="2"/>
      <c r="AN6" s="2"/>
      <c r="AR6" s="2"/>
      <c r="AV6" s="2"/>
      <c r="AZ6" s="2"/>
      <c r="BD6" s="2"/>
      <c r="BH6" s="2"/>
    </row>
    <row r="7" spans="2:60" ht="13.5" thickBot="1">
      <c r="B7" s="70"/>
      <c r="C7" s="1"/>
      <c r="D7" s="2"/>
      <c r="H7" s="2"/>
      <c r="L7" s="2"/>
      <c r="P7" s="2"/>
      <c r="T7" s="2"/>
      <c r="X7" s="2"/>
      <c r="AB7" s="2"/>
      <c r="AF7" s="2"/>
      <c r="AJ7" s="2"/>
      <c r="AN7" s="2"/>
      <c r="AR7" s="2"/>
      <c r="AV7" s="2"/>
      <c r="AZ7" s="2"/>
      <c r="BD7" s="2"/>
      <c r="BH7" s="2"/>
    </row>
    <row r="8" spans="1:70" ht="12.75">
      <c r="A8" s="5" t="s">
        <v>0</v>
      </c>
      <c r="B8" s="71" t="s">
        <v>1</v>
      </c>
      <c r="C8" s="6" t="s">
        <v>76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>
        <v>32</v>
      </c>
      <c r="AJ8" s="6">
        <v>33</v>
      </c>
      <c r="AK8" s="6">
        <v>34</v>
      </c>
      <c r="AL8" s="6">
        <v>35</v>
      </c>
      <c r="AM8" s="6">
        <v>36</v>
      </c>
      <c r="AN8" s="6">
        <v>37</v>
      </c>
      <c r="AO8" s="6">
        <v>38</v>
      </c>
      <c r="AP8" s="6">
        <v>39</v>
      </c>
      <c r="AQ8" s="6">
        <v>40</v>
      </c>
      <c r="AR8" s="6">
        <v>41</v>
      </c>
      <c r="AS8" s="6">
        <v>42</v>
      </c>
      <c r="AT8" s="6">
        <v>43</v>
      </c>
      <c r="AU8" s="6">
        <v>44</v>
      </c>
      <c r="AV8" s="6">
        <v>45</v>
      </c>
      <c r="AW8" s="7">
        <v>46</v>
      </c>
      <c r="AX8" s="6">
        <v>47</v>
      </c>
      <c r="AY8" s="6">
        <v>48</v>
      </c>
      <c r="AZ8" s="6">
        <v>49</v>
      </c>
      <c r="BA8" s="6">
        <v>50</v>
      </c>
      <c r="BB8" s="6">
        <v>51</v>
      </c>
      <c r="BC8" s="6">
        <v>52</v>
      </c>
      <c r="BD8" s="6">
        <v>53</v>
      </c>
      <c r="BE8" s="6">
        <v>54</v>
      </c>
      <c r="BF8" s="6">
        <v>55</v>
      </c>
      <c r="BG8" s="6">
        <v>56</v>
      </c>
      <c r="BH8" s="6">
        <v>57</v>
      </c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ht="13.5" thickBot="1">
      <c r="A9" s="9" t="s">
        <v>2</v>
      </c>
      <c r="B9" s="72"/>
      <c r="C9" s="10" t="s">
        <v>77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12</v>
      </c>
      <c r="N9" s="10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  <c r="T9" s="10" t="s">
        <v>19</v>
      </c>
      <c r="U9" s="10" t="s">
        <v>20</v>
      </c>
      <c r="V9" s="10" t="s">
        <v>21</v>
      </c>
      <c r="W9" s="10" t="s">
        <v>22</v>
      </c>
      <c r="X9" s="10" t="s">
        <v>23</v>
      </c>
      <c r="Y9" s="10" t="s">
        <v>24</v>
      </c>
      <c r="Z9" s="10" t="s">
        <v>25</v>
      </c>
      <c r="AA9" s="10" t="s">
        <v>26</v>
      </c>
      <c r="AB9" s="10" t="s">
        <v>27</v>
      </c>
      <c r="AC9" s="10" t="s">
        <v>28</v>
      </c>
      <c r="AD9" s="10" t="s">
        <v>29</v>
      </c>
      <c r="AE9" s="10" t="s">
        <v>30</v>
      </c>
      <c r="AF9" s="10" t="s">
        <v>31</v>
      </c>
      <c r="AG9" s="10" t="s">
        <v>32</v>
      </c>
      <c r="AH9" s="10" t="s">
        <v>33</v>
      </c>
      <c r="AI9" s="10" t="s">
        <v>34</v>
      </c>
      <c r="AJ9" s="10" t="s">
        <v>35</v>
      </c>
      <c r="AK9" s="10" t="s">
        <v>36</v>
      </c>
      <c r="AL9" s="10" t="s">
        <v>37</v>
      </c>
      <c r="AM9" s="10" t="s">
        <v>38</v>
      </c>
      <c r="AN9" s="10" t="s">
        <v>39</v>
      </c>
      <c r="AO9" s="10" t="s">
        <v>40</v>
      </c>
      <c r="AP9" s="10" t="s">
        <v>41</v>
      </c>
      <c r="AQ9" s="10" t="s">
        <v>42</v>
      </c>
      <c r="AR9" s="10" t="s">
        <v>43</v>
      </c>
      <c r="AS9" s="10" t="s">
        <v>44</v>
      </c>
      <c r="AT9" s="10" t="s">
        <v>45</v>
      </c>
      <c r="AU9" s="10" t="s">
        <v>46</v>
      </c>
      <c r="AV9" s="10" t="s">
        <v>47</v>
      </c>
      <c r="AW9" s="11" t="s">
        <v>48</v>
      </c>
      <c r="AX9" s="10" t="s">
        <v>49</v>
      </c>
      <c r="AY9" s="10" t="s">
        <v>50</v>
      </c>
      <c r="AZ9" s="10" t="s">
        <v>51</v>
      </c>
      <c r="BA9" s="10" t="s">
        <v>52</v>
      </c>
      <c r="BB9" s="10" t="s">
        <v>53</v>
      </c>
      <c r="BC9" s="10" t="s">
        <v>54</v>
      </c>
      <c r="BD9" s="10" t="s">
        <v>55</v>
      </c>
      <c r="BE9" s="10" t="s">
        <v>56</v>
      </c>
      <c r="BF9" s="10" t="s">
        <v>57</v>
      </c>
      <c r="BG9" s="10" t="s">
        <v>58</v>
      </c>
      <c r="BH9" s="10" t="s">
        <v>59</v>
      </c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60" ht="13.5" thickTop="1">
      <c r="A10" s="12"/>
      <c r="B10" s="7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ht="12.75">
      <c r="A11" s="20"/>
      <c r="B11" s="74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</row>
    <row r="12" spans="1:60" ht="12.75">
      <c r="A12" s="20"/>
      <c r="B12" s="75" t="s">
        <v>60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ht="12.75">
      <c r="A13" s="15"/>
      <c r="B13" s="7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7" s="25" customFormat="1" ht="12.75">
      <c r="A14" s="23" t="s">
        <v>61</v>
      </c>
      <c r="B14" s="75" t="s">
        <v>86</v>
      </c>
      <c r="C14" s="16">
        <f>SUM(D14:BH14)</f>
        <v>16808</v>
      </c>
      <c r="D14" s="24">
        <f aca="true" t="shared" si="0" ref="D14:AI14">SUM(D15:D17)</f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4">
        <f t="shared" si="0"/>
        <v>0</v>
      </c>
      <c r="Y14" s="24">
        <f t="shared" si="0"/>
        <v>0</v>
      </c>
      <c r="Z14" s="24">
        <f t="shared" si="0"/>
        <v>0</v>
      </c>
      <c r="AA14" s="24">
        <f t="shared" si="0"/>
        <v>0</v>
      </c>
      <c r="AB14" s="24">
        <f t="shared" si="0"/>
        <v>0</v>
      </c>
      <c r="AC14" s="24">
        <f t="shared" si="0"/>
        <v>0</v>
      </c>
      <c r="AD14" s="24">
        <f t="shared" si="0"/>
        <v>0</v>
      </c>
      <c r="AE14" s="24">
        <f t="shared" si="0"/>
        <v>0</v>
      </c>
      <c r="AF14" s="24">
        <f t="shared" si="0"/>
        <v>0</v>
      </c>
      <c r="AG14" s="24">
        <f t="shared" si="0"/>
        <v>0</v>
      </c>
      <c r="AH14" s="24">
        <f t="shared" si="0"/>
        <v>0</v>
      </c>
      <c r="AI14" s="24">
        <f t="shared" si="0"/>
        <v>0</v>
      </c>
      <c r="AJ14" s="24">
        <f aca="true" t="shared" si="1" ref="AJ14:BH14">SUM(AJ15:AJ17)</f>
        <v>0</v>
      </c>
      <c r="AK14" s="24">
        <f t="shared" si="1"/>
        <v>0</v>
      </c>
      <c r="AL14" s="24">
        <f t="shared" si="1"/>
        <v>0</v>
      </c>
      <c r="AM14" s="24">
        <f t="shared" si="1"/>
        <v>0</v>
      </c>
      <c r="AN14" s="24">
        <f t="shared" si="1"/>
        <v>0</v>
      </c>
      <c r="AO14" s="24">
        <f t="shared" si="1"/>
        <v>0</v>
      </c>
      <c r="AP14" s="24">
        <f t="shared" si="1"/>
        <v>0</v>
      </c>
      <c r="AQ14" s="24">
        <f t="shared" si="1"/>
        <v>0</v>
      </c>
      <c r="AR14" s="24">
        <f t="shared" si="1"/>
        <v>0</v>
      </c>
      <c r="AS14" s="24">
        <f t="shared" si="1"/>
        <v>0</v>
      </c>
      <c r="AT14" s="24">
        <f t="shared" si="1"/>
        <v>0</v>
      </c>
      <c r="AU14" s="24">
        <f t="shared" si="1"/>
        <v>0</v>
      </c>
      <c r="AV14" s="24">
        <f t="shared" si="1"/>
        <v>0</v>
      </c>
      <c r="AW14" s="24">
        <f t="shared" si="1"/>
        <v>0</v>
      </c>
      <c r="AX14" s="24">
        <f t="shared" si="1"/>
        <v>0</v>
      </c>
      <c r="AY14" s="24">
        <f t="shared" si="1"/>
        <v>0</v>
      </c>
      <c r="AZ14" s="24">
        <f t="shared" si="1"/>
        <v>0</v>
      </c>
      <c r="BA14" s="24">
        <f t="shared" si="1"/>
        <v>0</v>
      </c>
      <c r="BB14" s="24">
        <f t="shared" si="1"/>
        <v>0</v>
      </c>
      <c r="BC14" s="24">
        <f t="shared" si="1"/>
        <v>0</v>
      </c>
      <c r="BD14" s="24">
        <f t="shared" si="1"/>
        <v>0</v>
      </c>
      <c r="BE14" s="24">
        <f t="shared" si="1"/>
        <v>0</v>
      </c>
      <c r="BF14" s="24">
        <f t="shared" si="1"/>
        <v>0</v>
      </c>
      <c r="BG14" s="24">
        <f t="shared" si="1"/>
        <v>0</v>
      </c>
      <c r="BH14" s="24">
        <f t="shared" si="1"/>
        <v>16808</v>
      </c>
      <c r="BI14" s="59"/>
      <c r="BJ14" s="60"/>
      <c r="BK14" s="60"/>
      <c r="BL14" s="60"/>
      <c r="BM14" s="60"/>
      <c r="BN14" s="60"/>
      <c r="BO14" s="60"/>
    </row>
    <row r="15" spans="1:63" ht="12.75">
      <c r="A15" s="26"/>
      <c r="B15" s="77" t="s">
        <v>93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K15" s="60"/>
    </row>
    <row r="16" spans="1:63" ht="12.75">
      <c r="A16" s="27"/>
      <c r="B16" s="66" t="s">
        <v>103</v>
      </c>
      <c r="C16" s="16">
        <f>SUM(D16:BH16)</f>
        <v>16808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>
        <v>16808</v>
      </c>
      <c r="BK16" s="60"/>
    </row>
    <row r="17" spans="1:63" ht="12.75">
      <c r="A17" s="27"/>
      <c r="B17" s="66" t="s">
        <v>104</v>
      </c>
      <c r="C17" s="16">
        <f>SUM(D17:BH17)</f>
        <v>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K17" s="60"/>
    </row>
    <row r="18" spans="1:63" ht="12.75">
      <c r="A18" s="27"/>
      <c r="B18" s="78"/>
      <c r="C18" s="1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K18" s="60"/>
    </row>
    <row r="19" spans="1:63" s="25" customFormat="1" ht="12.75">
      <c r="A19" s="28" t="s">
        <v>62</v>
      </c>
      <c r="B19" s="79" t="s">
        <v>63</v>
      </c>
      <c r="C19" s="16">
        <f>SUM(D19:BH19)</f>
        <v>2359912.29</v>
      </c>
      <c r="D19" s="21">
        <f aca="true" t="shared" si="2" ref="D19:AI19">SUM(D21:D25)</f>
        <v>0</v>
      </c>
      <c r="E19" s="21">
        <f t="shared" si="2"/>
        <v>0</v>
      </c>
      <c r="F19" s="21">
        <f t="shared" si="2"/>
        <v>877511.21</v>
      </c>
      <c r="G19" s="21">
        <f t="shared" si="2"/>
        <v>31320</v>
      </c>
      <c r="H19" s="21">
        <f t="shared" si="2"/>
        <v>0</v>
      </c>
      <c r="I19" s="21">
        <f t="shared" si="2"/>
        <v>149623.71</v>
      </c>
      <c r="J19" s="21">
        <f t="shared" si="2"/>
        <v>0</v>
      </c>
      <c r="K19" s="21">
        <f t="shared" si="2"/>
        <v>881000</v>
      </c>
      <c r="L19" s="21">
        <f t="shared" si="2"/>
        <v>0</v>
      </c>
      <c r="M19" s="21">
        <f t="shared" si="2"/>
        <v>15278</v>
      </c>
      <c r="N19" s="21">
        <f t="shared" si="2"/>
        <v>2352</v>
      </c>
      <c r="O19" s="21">
        <f t="shared" si="2"/>
        <v>0</v>
      </c>
      <c r="P19" s="21">
        <f t="shared" si="2"/>
        <v>0</v>
      </c>
      <c r="Q19" s="21">
        <f t="shared" si="2"/>
        <v>0</v>
      </c>
      <c r="R19" s="21">
        <f t="shared" si="2"/>
        <v>0</v>
      </c>
      <c r="S19" s="21">
        <f t="shared" si="2"/>
        <v>1940</v>
      </c>
      <c r="T19" s="21">
        <f t="shared" si="2"/>
        <v>5920</v>
      </c>
      <c r="U19" s="21">
        <f t="shared" si="2"/>
        <v>0</v>
      </c>
      <c r="V19" s="21">
        <f t="shared" si="2"/>
        <v>0</v>
      </c>
      <c r="W19" s="21">
        <f t="shared" si="2"/>
        <v>1243.75</v>
      </c>
      <c r="X19" s="21">
        <f t="shared" si="2"/>
        <v>0</v>
      </c>
      <c r="Y19" s="21">
        <f t="shared" si="2"/>
        <v>0</v>
      </c>
      <c r="Z19" s="21">
        <f t="shared" si="2"/>
        <v>0</v>
      </c>
      <c r="AA19" s="21">
        <f t="shared" si="2"/>
        <v>0</v>
      </c>
      <c r="AB19" s="21">
        <f t="shared" si="2"/>
        <v>0</v>
      </c>
      <c r="AC19" s="21">
        <f t="shared" si="2"/>
        <v>0</v>
      </c>
      <c r="AD19" s="21">
        <f t="shared" si="2"/>
        <v>0</v>
      </c>
      <c r="AE19" s="21">
        <f t="shared" si="2"/>
        <v>0</v>
      </c>
      <c r="AF19" s="21">
        <f t="shared" si="2"/>
        <v>0</v>
      </c>
      <c r="AG19" s="21">
        <f t="shared" si="2"/>
        <v>4511</v>
      </c>
      <c r="AH19" s="21">
        <f t="shared" si="2"/>
        <v>0</v>
      </c>
      <c r="AI19" s="21">
        <f t="shared" si="2"/>
        <v>0</v>
      </c>
      <c r="AJ19" s="21">
        <f aca="true" t="shared" si="3" ref="AJ19:BH19">SUM(AJ21:AJ25)</f>
        <v>10060</v>
      </c>
      <c r="AK19" s="21">
        <f t="shared" si="3"/>
        <v>0</v>
      </c>
      <c r="AL19" s="21">
        <f t="shared" si="3"/>
        <v>0</v>
      </c>
      <c r="AM19" s="21">
        <f t="shared" si="3"/>
        <v>0</v>
      </c>
      <c r="AN19" s="21">
        <f t="shared" si="3"/>
        <v>0</v>
      </c>
      <c r="AO19" s="21">
        <f t="shared" si="3"/>
        <v>0</v>
      </c>
      <c r="AP19" s="21">
        <f t="shared" si="3"/>
        <v>22058.42</v>
      </c>
      <c r="AQ19" s="21">
        <f t="shared" si="3"/>
        <v>0</v>
      </c>
      <c r="AR19" s="21">
        <f t="shared" si="3"/>
        <v>0</v>
      </c>
      <c r="AS19" s="21">
        <f t="shared" si="3"/>
        <v>0</v>
      </c>
      <c r="AT19" s="21">
        <f t="shared" si="3"/>
        <v>0</v>
      </c>
      <c r="AU19" s="21">
        <f t="shared" si="3"/>
        <v>0</v>
      </c>
      <c r="AV19" s="21">
        <f t="shared" si="3"/>
        <v>0</v>
      </c>
      <c r="AW19" s="21">
        <f t="shared" si="3"/>
        <v>0</v>
      </c>
      <c r="AX19" s="21">
        <f t="shared" si="3"/>
        <v>0</v>
      </c>
      <c r="AY19" s="21">
        <f t="shared" si="3"/>
        <v>0</v>
      </c>
      <c r="AZ19" s="21">
        <f t="shared" si="3"/>
        <v>0</v>
      </c>
      <c r="BA19" s="21">
        <f t="shared" si="3"/>
        <v>0</v>
      </c>
      <c r="BB19" s="21">
        <f t="shared" si="3"/>
        <v>0</v>
      </c>
      <c r="BC19" s="21">
        <f t="shared" si="3"/>
        <v>0</v>
      </c>
      <c r="BD19" s="21">
        <f t="shared" si="3"/>
        <v>0</v>
      </c>
      <c r="BE19" s="21">
        <f t="shared" si="3"/>
        <v>0</v>
      </c>
      <c r="BF19" s="21">
        <f t="shared" si="3"/>
        <v>0</v>
      </c>
      <c r="BG19" s="21">
        <f t="shared" si="3"/>
        <v>357094.2</v>
      </c>
      <c r="BH19" s="21">
        <f t="shared" si="3"/>
        <v>0</v>
      </c>
      <c r="BK19" s="60"/>
    </row>
    <row r="20" spans="1:63" s="25" customFormat="1" ht="12.75">
      <c r="A20" s="28"/>
      <c r="B20" s="80" t="s">
        <v>93</v>
      </c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K20" s="60"/>
    </row>
    <row r="21" spans="1:63" ht="12.75">
      <c r="A21" s="27"/>
      <c r="B21" s="81" t="s">
        <v>96</v>
      </c>
      <c r="C21" s="29">
        <f>SUM(D21:BH21)</f>
        <v>27813.17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>
        <v>1243.75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>
        <v>4511</v>
      </c>
      <c r="AH21" s="22"/>
      <c r="AI21" s="22"/>
      <c r="AJ21" s="22"/>
      <c r="AK21" s="22"/>
      <c r="AL21" s="22"/>
      <c r="AM21" s="22"/>
      <c r="AN21" s="22"/>
      <c r="AO21" s="22"/>
      <c r="AP21" s="22">
        <v>22058.42</v>
      </c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K21" s="60"/>
    </row>
    <row r="22" spans="1:63" s="32" customFormat="1" ht="12.75">
      <c r="A22" s="30"/>
      <c r="B22" s="82" t="s">
        <v>82</v>
      </c>
      <c r="C22" s="29">
        <f>SUM(D22:BH22)</f>
        <v>87336</v>
      </c>
      <c r="D22" s="31"/>
      <c r="E22" s="31"/>
      <c r="F22" s="31">
        <v>20466</v>
      </c>
      <c r="G22" s="31">
        <v>31320</v>
      </c>
      <c r="H22" s="31"/>
      <c r="I22" s="31"/>
      <c r="J22" s="31"/>
      <c r="K22" s="31"/>
      <c r="L22" s="31"/>
      <c r="M22" s="31">
        <v>15278</v>
      </c>
      <c r="N22" s="31">
        <v>2352</v>
      </c>
      <c r="O22" s="31"/>
      <c r="P22" s="31"/>
      <c r="Q22" s="31"/>
      <c r="R22" s="31"/>
      <c r="S22" s="31">
        <v>1940</v>
      </c>
      <c r="T22" s="31">
        <v>5920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>
        <v>10060</v>
      </c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K22" s="60"/>
    </row>
    <row r="23" spans="1:120" s="32" customFormat="1" ht="24">
      <c r="A23" s="30"/>
      <c r="B23" s="83" t="s">
        <v>99</v>
      </c>
      <c r="C23" s="58">
        <f>SUM(D23:BH23)</f>
        <v>259596.09</v>
      </c>
      <c r="D23" s="31"/>
      <c r="E23" s="31"/>
      <c r="F23" s="31">
        <v>109972.38</v>
      </c>
      <c r="G23" s="31"/>
      <c r="H23" s="31"/>
      <c r="I23" s="31">
        <v>149623.71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57"/>
      <c r="BJ23" s="57"/>
      <c r="BK23" s="60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</row>
    <row r="24" spans="1:120" s="32" customFormat="1" ht="12.75">
      <c r="A24" s="30"/>
      <c r="B24" s="84" t="s">
        <v>105</v>
      </c>
      <c r="C24" s="58">
        <f>SUM(D24:BH24)</f>
        <v>1789167.03</v>
      </c>
      <c r="D24" s="31"/>
      <c r="E24" s="31"/>
      <c r="F24" s="31">
        <v>747072.83</v>
      </c>
      <c r="G24" s="31"/>
      <c r="H24" s="31"/>
      <c r="I24" s="31"/>
      <c r="J24" s="31"/>
      <c r="K24" s="31">
        <v>685000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>
        <v>357094.2</v>
      </c>
      <c r="BH24" s="31"/>
      <c r="BI24" s="57"/>
      <c r="BJ24" s="57"/>
      <c r="BK24" s="60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</row>
    <row r="25" spans="1:120" s="32" customFormat="1" ht="12.75">
      <c r="A25" s="30"/>
      <c r="B25" s="84" t="s">
        <v>100</v>
      </c>
      <c r="C25" s="58">
        <f>SUM(D25:BH25)</f>
        <v>196000</v>
      </c>
      <c r="D25" s="31"/>
      <c r="E25" s="31"/>
      <c r="F25" s="31"/>
      <c r="G25" s="31"/>
      <c r="H25" s="31"/>
      <c r="I25" s="31"/>
      <c r="J25" s="31"/>
      <c r="K25" s="31">
        <v>196000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57"/>
      <c r="BJ25" s="57"/>
      <c r="BK25" s="60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</row>
    <row r="26" spans="1:63" ht="13.5" thickBot="1">
      <c r="A26" s="18"/>
      <c r="B26" s="85"/>
      <c r="C26" s="1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K26" s="60"/>
    </row>
    <row r="27" spans="1:63" s="35" customFormat="1" ht="14.25" thickBot="1" thickTop="1">
      <c r="A27" s="33" t="s">
        <v>64</v>
      </c>
      <c r="B27" s="86" t="s">
        <v>65</v>
      </c>
      <c r="C27" s="34">
        <f>SUM(D27:BH27)</f>
        <v>2376720.29</v>
      </c>
      <c r="D27" s="34">
        <f aca="true" t="shared" si="4" ref="D27:AI27">SUM(D14,D19)</f>
        <v>0</v>
      </c>
      <c r="E27" s="34">
        <f t="shared" si="4"/>
        <v>0</v>
      </c>
      <c r="F27" s="34">
        <f t="shared" si="4"/>
        <v>877511.21</v>
      </c>
      <c r="G27" s="34">
        <f t="shared" si="4"/>
        <v>31320</v>
      </c>
      <c r="H27" s="34">
        <f t="shared" si="4"/>
        <v>0</v>
      </c>
      <c r="I27" s="34">
        <f t="shared" si="4"/>
        <v>149623.71</v>
      </c>
      <c r="J27" s="34">
        <f t="shared" si="4"/>
        <v>0</v>
      </c>
      <c r="K27" s="34">
        <f t="shared" si="4"/>
        <v>881000</v>
      </c>
      <c r="L27" s="34">
        <f t="shared" si="4"/>
        <v>0</v>
      </c>
      <c r="M27" s="34">
        <f t="shared" si="4"/>
        <v>15278</v>
      </c>
      <c r="N27" s="34">
        <f t="shared" si="4"/>
        <v>2352</v>
      </c>
      <c r="O27" s="34">
        <f t="shared" si="4"/>
        <v>0</v>
      </c>
      <c r="P27" s="34">
        <f t="shared" si="4"/>
        <v>0</v>
      </c>
      <c r="Q27" s="34">
        <f t="shared" si="4"/>
        <v>0</v>
      </c>
      <c r="R27" s="34">
        <f t="shared" si="4"/>
        <v>0</v>
      </c>
      <c r="S27" s="34">
        <f t="shared" si="4"/>
        <v>1940</v>
      </c>
      <c r="T27" s="34">
        <f t="shared" si="4"/>
        <v>5920</v>
      </c>
      <c r="U27" s="34">
        <f t="shared" si="4"/>
        <v>0</v>
      </c>
      <c r="V27" s="34">
        <f t="shared" si="4"/>
        <v>0</v>
      </c>
      <c r="W27" s="34">
        <f t="shared" si="4"/>
        <v>1243.75</v>
      </c>
      <c r="X27" s="34">
        <f t="shared" si="4"/>
        <v>0</v>
      </c>
      <c r="Y27" s="34">
        <f t="shared" si="4"/>
        <v>0</v>
      </c>
      <c r="Z27" s="34">
        <f t="shared" si="4"/>
        <v>0</v>
      </c>
      <c r="AA27" s="34">
        <f t="shared" si="4"/>
        <v>0</v>
      </c>
      <c r="AB27" s="34">
        <f t="shared" si="4"/>
        <v>0</v>
      </c>
      <c r="AC27" s="34">
        <f t="shared" si="4"/>
        <v>0</v>
      </c>
      <c r="AD27" s="34">
        <f t="shared" si="4"/>
        <v>0</v>
      </c>
      <c r="AE27" s="34">
        <f t="shared" si="4"/>
        <v>0</v>
      </c>
      <c r="AF27" s="34">
        <f t="shared" si="4"/>
        <v>0</v>
      </c>
      <c r="AG27" s="34">
        <f t="shared" si="4"/>
        <v>4511</v>
      </c>
      <c r="AH27" s="34">
        <f t="shared" si="4"/>
        <v>0</v>
      </c>
      <c r="AI27" s="34">
        <f t="shared" si="4"/>
        <v>0</v>
      </c>
      <c r="AJ27" s="34">
        <f aca="true" t="shared" si="5" ref="AJ27:BH27">SUM(AJ14,AJ19)</f>
        <v>10060</v>
      </c>
      <c r="AK27" s="34">
        <f t="shared" si="5"/>
        <v>0</v>
      </c>
      <c r="AL27" s="34">
        <f t="shared" si="5"/>
        <v>0</v>
      </c>
      <c r="AM27" s="34">
        <f t="shared" si="5"/>
        <v>0</v>
      </c>
      <c r="AN27" s="34">
        <f t="shared" si="5"/>
        <v>0</v>
      </c>
      <c r="AO27" s="34">
        <f t="shared" si="5"/>
        <v>0</v>
      </c>
      <c r="AP27" s="34">
        <f t="shared" si="5"/>
        <v>22058.42</v>
      </c>
      <c r="AQ27" s="34">
        <f t="shared" si="5"/>
        <v>0</v>
      </c>
      <c r="AR27" s="34">
        <f t="shared" si="5"/>
        <v>0</v>
      </c>
      <c r="AS27" s="34">
        <f t="shared" si="5"/>
        <v>0</v>
      </c>
      <c r="AT27" s="34">
        <f t="shared" si="5"/>
        <v>0</v>
      </c>
      <c r="AU27" s="34">
        <f t="shared" si="5"/>
        <v>0</v>
      </c>
      <c r="AV27" s="34">
        <f t="shared" si="5"/>
        <v>0</v>
      </c>
      <c r="AW27" s="34">
        <f t="shared" si="5"/>
        <v>0</v>
      </c>
      <c r="AX27" s="34">
        <f t="shared" si="5"/>
        <v>0</v>
      </c>
      <c r="AY27" s="34">
        <f t="shared" si="5"/>
        <v>0</v>
      </c>
      <c r="AZ27" s="34">
        <f t="shared" si="5"/>
        <v>0</v>
      </c>
      <c r="BA27" s="34">
        <f t="shared" si="5"/>
        <v>0</v>
      </c>
      <c r="BB27" s="34">
        <f t="shared" si="5"/>
        <v>0</v>
      </c>
      <c r="BC27" s="34">
        <f t="shared" si="5"/>
        <v>0</v>
      </c>
      <c r="BD27" s="34">
        <f t="shared" si="5"/>
        <v>0</v>
      </c>
      <c r="BE27" s="34">
        <f t="shared" si="5"/>
        <v>0</v>
      </c>
      <c r="BF27" s="34">
        <f t="shared" si="5"/>
        <v>0</v>
      </c>
      <c r="BG27" s="34">
        <f t="shared" si="5"/>
        <v>357094.2</v>
      </c>
      <c r="BH27" s="34">
        <f t="shared" si="5"/>
        <v>16808</v>
      </c>
      <c r="BK27" s="60"/>
    </row>
    <row r="28" spans="1:63" s="38" customFormat="1" ht="13.5" thickTop="1">
      <c r="A28" s="36"/>
      <c r="B28" s="87"/>
      <c r="C28" s="24"/>
      <c r="D28" s="37"/>
      <c r="E28" s="55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K28" s="60"/>
    </row>
    <row r="29" spans="1:63" ht="12.75">
      <c r="A29" s="39"/>
      <c r="B29" s="88" t="s">
        <v>66</v>
      </c>
      <c r="C29" s="16"/>
      <c r="D29" s="40"/>
      <c r="E29" s="17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K29" s="60"/>
    </row>
    <row r="30" spans="1:63" ht="12.75">
      <c r="A30" s="39"/>
      <c r="B30" s="76"/>
      <c r="C30" s="16"/>
      <c r="D30" s="40"/>
      <c r="E30" s="17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K30" s="60"/>
    </row>
    <row r="31" spans="1:63" s="25" customFormat="1" ht="12.75">
      <c r="A31" s="41" t="s">
        <v>67</v>
      </c>
      <c r="B31" s="88" t="s">
        <v>68</v>
      </c>
      <c r="C31" s="16">
        <f aca="true" t="shared" si="6" ref="C31:C38">SUM(D31:BH31)</f>
        <v>7278612.32</v>
      </c>
      <c r="D31" s="42">
        <f aca="true" t="shared" si="7" ref="D31:AI31">SUM(D32:D38)</f>
        <v>40000</v>
      </c>
      <c r="E31" s="42">
        <f t="shared" si="7"/>
        <v>159</v>
      </c>
      <c r="F31" s="42">
        <f t="shared" si="7"/>
        <v>36242</v>
      </c>
      <c r="G31" s="42">
        <f t="shared" si="7"/>
        <v>426379.23</v>
      </c>
      <c r="H31" s="42">
        <f t="shared" si="7"/>
        <v>185989.65</v>
      </c>
      <c r="I31" s="42">
        <f t="shared" si="7"/>
        <v>1531276.3900000001</v>
      </c>
      <c r="J31" s="42">
        <f t="shared" si="7"/>
        <v>145737.22</v>
      </c>
      <c r="K31" s="42">
        <f t="shared" si="7"/>
        <v>792325.6499999999</v>
      </c>
      <c r="L31" s="42">
        <f t="shared" si="7"/>
        <v>23144.13</v>
      </c>
      <c r="M31" s="42">
        <f t="shared" si="7"/>
        <v>1397311.33</v>
      </c>
      <c r="N31" s="42">
        <f t="shared" si="7"/>
        <v>907040.4299999999</v>
      </c>
      <c r="O31" s="42">
        <f t="shared" si="7"/>
        <v>265827.06</v>
      </c>
      <c r="P31" s="42">
        <f t="shared" si="7"/>
        <v>13657</v>
      </c>
      <c r="Q31" s="42">
        <f t="shared" si="7"/>
        <v>69941</v>
      </c>
      <c r="R31" s="42">
        <f t="shared" si="7"/>
        <v>64762.33</v>
      </c>
      <c r="S31" s="42">
        <f t="shared" si="7"/>
        <v>0</v>
      </c>
      <c r="T31" s="42">
        <f t="shared" si="7"/>
        <v>197672.53</v>
      </c>
      <c r="U31" s="42">
        <f t="shared" si="7"/>
        <v>131518.15</v>
      </c>
      <c r="V31" s="42">
        <f t="shared" si="7"/>
        <v>0</v>
      </c>
      <c r="W31" s="42">
        <f t="shared" si="7"/>
        <v>0</v>
      </c>
      <c r="X31" s="42">
        <f t="shared" si="7"/>
        <v>120516</v>
      </c>
      <c r="Y31" s="42">
        <f t="shared" si="7"/>
        <v>123250.32</v>
      </c>
      <c r="Z31" s="42">
        <f t="shared" si="7"/>
        <v>0</v>
      </c>
      <c r="AA31" s="42">
        <f t="shared" si="7"/>
        <v>21311</v>
      </c>
      <c r="AB31" s="42">
        <f t="shared" si="7"/>
        <v>0</v>
      </c>
      <c r="AC31" s="42">
        <f t="shared" si="7"/>
        <v>0</v>
      </c>
      <c r="AD31" s="42">
        <f t="shared" si="7"/>
        <v>0</v>
      </c>
      <c r="AE31" s="42">
        <f t="shared" si="7"/>
        <v>0</v>
      </c>
      <c r="AF31" s="42">
        <f t="shared" si="7"/>
        <v>0</v>
      </c>
      <c r="AG31" s="42">
        <f t="shared" si="7"/>
        <v>0</v>
      </c>
      <c r="AH31" s="42">
        <f t="shared" si="7"/>
        <v>0</v>
      </c>
      <c r="AI31" s="42">
        <f t="shared" si="7"/>
        <v>0</v>
      </c>
      <c r="AJ31" s="42">
        <f aca="true" t="shared" si="8" ref="AJ31:BH31">SUM(AJ32:AJ38)</f>
        <v>0</v>
      </c>
      <c r="AK31" s="42">
        <f t="shared" si="8"/>
        <v>52226</v>
      </c>
      <c r="AL31" s="42">
        <f t="shared" si="8"/>
        <v>21701</v>
      </c>
      <c r="AM31" s="42">
        <f t="shared" si="8"/>
        <v>0</v>
      </c>
      <c r="AN31" s="42">
        <f t="shared" si="8"/>
        <v>0</v>
      </c>
      <c r="AO31" s="42">
        <f t="shared" si="8"/>
        <v>599926.5</v>
      </c>
      <c r="AP31" s="42">
        <f t="shared" si="8"/>
        <v>0</v>
      </c>
      <c r="AQ31" s="42">
        <f t="shared" si="8"/>
        <v>0</v>
      </c>
      <c r="AR31" s="42">
        <f t="shared" si="8"/>
        <v>7166</v>
      </c>
      <c r="AS31" s="42">
        <f t="shared" si="8"/>
        <v>53563</v>
      </c>
      <c r="AT31" s="42">
        <f t="shared" si="8"/>
        <v>24444.4</v>
      </c>
      <c r="AU31" s="42">
        <f t="shared" si="8"/>
        <v>0</v>
      </c>
      <c r="AV31" s="42">
        <f t="shared" si="8"/>
        <v>10966</v>
      </c>
      <c r="AW31" s="42">
        <f t="shared" si="8"/>
        <v>0</v>
      </c>
      <c r="AX31" s="42">
        <f t="shared" si="8"/>
        <v>0</v>
      </c>
      <c r="AY31" s="42">
        <f t="shared" si="8"/>
        <v>0</v>
      </c>
      <c r="AZ31" s="42">
        <f t="shared" si="8"/>
        <v>0</v>
      </c>
      <c r="BA31" s="42">
        <f t="shared" si="8"/>
        <v>0</v>
      </c>
      <c r="BB31" s="42">
        <f t="shared" si="8"/>
        <v>14559</v>
      </c>
      <c r="BC31" s="42">
        <f t="shared" si="8"/>
        <v>0</v>
      </c>
      <c r="BD31" s="42">
        <f t="shared" si="8"/>
        <v>0</v>
      </c>
      <c r="BE31" s="42">
        <f t="shared" si="8"/>
        <v>0</v>
      </c>
      <c r="BF31" s="42">
        <f t="shared" si="8"/>
        <v>0</v>
      </c>
      <c r="BG31" s="42">
        <f t="shared" si="8"/>
        <v>0</v>
      </c>
      <c r="BH31" s="42">
        <f t="shared" si="8"/>
        <v>0</v>
      </c>
      <c r="BK31" s="60"/>
    </row>
    <row r="32" spans="1:63" ht="12.75">
      <c r="A32" s="39"/>
      <c r="B32" s="77" t="s">
        <v>93</v>
      </c>
      <c r="C32" s="16"/>
      <c r="D32" s="40"/>
      <c r="E32" s="17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K32" s="60"/>
    </row>
    <row r="33" spans="1:63" ht="12.75">
      <c r="A33" s="39"/>
      <c r="B33" s="82" t="s">
        <v>97</v>
      </c>
      <c r="C33" s="16">
        <f t="shared" si="6"/>
        <v>1921627.11</v>
      </c>
      <c r="D33" s="40"/>
      <c r="E33" s="17">
        <v>159</v>
      </c>
      <c r="F33" s="40"/>
      <c r="G33" s="40">
        <v>374166.23</v>
      </c>
      <c r="H33" s="40">
        <v>171759.65</v>
      </c>
      <c r="I33" s="40">
        <v>123415.84</v>
      </c>
      <c r="J33" s="40">
        <v>100854.77</v>
      </c>
      <c r="K33" s="40">
        <v>571500.97</v>
      </c>
      <c r="L33" s="40">
        <v>23144.13</v>
      </c>
      <c r="M33" s="40">
        <v>241141.1</v>
      </c>
      <c r="N33" s="40">
        <v>50350.07</v>
      </c>
      <c r="O33" s="40"/>
      <c r="P33" s="40">
        <v>13657</v>
      </c>
      <c r="Q33" s="40"/>
      <c r="R33" s="40"/>
      <c r="S33" s="40"/>
      <c r="T33" s="40"/>
      <c r="U33" s="40">
        <v>131097.35</v>
      </c>
      <c r="V33" s="40"/>
      <c r="W33" s="40"/>
      <c r="X33" s="40">
        <v>120381</v>
      </c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K33" s="60"/>
    </row>
    <row r="34" spans="1:63" ht="12.75">
      <c r="A34" s="39"/>
      <c r="B34" s="89" t="s">
        <v>84</v>
      </c>
      <c r="C34" s="16">
        <f t="shared" si="6"/>
        <v>43</v>
      </c>
      <c r="D34" s="40"/>
      <c r="E34" s="17"/>
      <c r="F34" s="40"/>
      <c r="G34" s="40"/>
      <c r="H34" s="40"/>
      <c r="I34" s="40"/>
      <c r="J34" s="40"/>
      <c r="K34" s="40"/>
      <c r="L34" s="40"/>
      <c r="M34" s="40"/>
      <c r="N34" s="40">
        <v>43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K34" s="60"/>
    </row>
    <row r="35" spans="1:63" s="46" customFormat="1" ht="12.75">
      <c r="A35" s="43"/>
      <c r="B35" s="66" t="s">
        <v>103</v>
      </c>
      <c r="C35" s="44">
        <f t="shared" si="6"/>
        <v>3853722.52</v>
      </c>
      <c r="D35" s="45"/>
      <c r="E35" s="56"/>
      <c r="F35" s="45"/>
      <c r="G35" s="45"/>
      <c r="H35" s="45"/>
      <c r="I35" s="45">
        <v>1407860.55</v>
      </c>
      <c r="J35" s="45"/>
      <c r="K35" s="45"/>
      <c r="L35" s="45"/>
      <c r="M35" s="45">
        <v>1110360.23</v>
      </c>
      <c r="N35" s="45">
        <v>772680.36</v>
      </c>
      <c r="O35" s="45"/>
      <c r="P35" s="45"/>
      <c r="Q35" s="45"/>
      <c r="R35" s="45">
        <v>64762.33</v>
      </c>
      <c r="S35" s="45"/>
      <c r="T35" s="45">
        <v>185297.53</v>
      </c>
      <c r="U35" s="45"/>
      <c r="V35" s="45"/>
      <c r="W35" s="45"/>
      <c r="X35" s="45"/>
      <c r="Y35" s="45">
        <v>123250.32</v>
      </c>
      <c r="Z35" s="45"/>
      <c r="AA35" s="45">
        <v>21311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>
        <v>52226</v>
      </c>
      <c r="AL35" s="45">
        <v>21701</v>
      </c>
      <c r="AM35" s="45"/>
      <c r="AN35" s="45"/>
      <c r="AO35" s="45"/>
      <c r="AP35" s="45"/>
      <c r="AQ35" s="45"/>
      <c r="AR35" s="45">
        <v>7166</v>
      </c>
      <c r="AS35" s="45">
        <v>53563</v>
      </c>
      <c r="AT35" s="45">
        <v>8019.2</v>
      </c>
      <c r="AU35" s="45"/>
      <c r="AV35" s="45">
        <v>10966</v>
      </c>
      <c r="AW35" s="45"/>
      <c r="AX35" s="45"/>
      <c r="AY35" s="45"/>
      <c r="AZ35" s="45"/>
      <c r="BA35" s="45"/>
      <c r="BB35" s="45">
        <v>14559</v>
      </c>
      <c r="BC35" s="45"/>
      <c r="BD35" s="45"/>
      <c r="BE35" s="45"/>
      <c r="BF35" s="45"/>
      <c r="BG35" s="45"/>
      <c r="BH35" s="45"/>
      <c r="BK35" s="60"/>
    </row>
    <row r="36" spans="1:63" s="46" customFormat="1" ht="12.75">
      <c r="A36" s="43"/>
      <c r="B36" s="66" t="s">
        <v>104</v>
      </c>
      <c r="C36" s="44">
        <f t="shared" si="6"/>
        <v>16425.2</v>
      </c>
      <c r="D36" s="45"/>
      <c r="E36" s="5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>
        <v>16425.2</v>
      </c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K36" s="60"/>
    </row>
    <row r="37" spans="1:63" s="46" customFormat="1" ht="12.75">
      <c r="A37" s="43"/>
      <c r="B37" s="66" t="s">
        <v>98</v>
      </c>
      <c r="C37" s="44">
        <f t="shared" si="6"/>
        <v>0</v>
      </c>
      <c r="D37" s="45"/>
      <c r="E37" s="5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K37" s="60"/>
    </row>
    <row r="38" spans="1:63" ht="12.75">
      <c r="A38" s="39"/>
      <c r="B38" s="90" t="s">
        <v>85</v>
      </c>
      <c r="C38" s="16">
        <f t="shared" si="6"/>
        <v>1486794.49</v>
      </c>
      <c r="D38" s="40">
        <v>40000</v>
      </c>
      <c r="E38" s="17"/>
      <c r="F38" s="40">
        <v>36242</v>
      </c>
      <c r="G38" s="40">
        <v>52213</v>
      </c>
      <c r="H38" s="40">
        <v>14230</v>
      </c>
      <c r="I38" s="40"/>
      <c r="J38" s="40">
        <v>44882.45</v>
      </c>
      <c r="K38" s="40">
        <v>220824.68</v>
      </c>
      <c r="L38" s="40"/>
      <c r="M38" s="40">
        <v>45810</v>
      </c>
      <c r="N38" s="40">
        <v>83967</v>
      </c>
      <c r="O38" s="40">
        <v>265827.06</v>
      </c>
      <c r="P38" s="40"/>
      <c r="Q38" s="40">
        <v>69941</v>
      </c>
      <c r="R38" s="40"/>
      <c r="S38" s="40"/>
      <c r="T38" s="40">
        <v>12375</v>
      </c>
      <c r="U38" s="40">
        <v>420.8</v>
      </c>
      <c r="V38" s="40"/>
      <c r="W38" s="40"/>
      <c r="X38" s="40">
        <v>135</v>
      </c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>
        <v>599926.5</v>
      </c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K38" s="60"/>
    </row>
    <row r="39" spans="1:63" ht="12.75">
      <c r="A39" s="39"/>
      <c r="B39" s="76"/>
      <c r="C39" s="16"/>
      <c r="D39" s="40"/>
      <c r="E39" s="17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K39" s="60"/>
    </row>
    <row r="40" spans="1:63" s="25" customFormat="1" ht="12.75">
      <c r="A40" s="47" t="s">
        <v>69</v>
      </c>
      <c r="B40" s="88" t="s">
        <v>87</v>
      </c>
      <c r="C40" s="16">
        <f>SUM(D40:BH40)</f>
        <v>3385235.5399999944</v>
      </c>
      <c r="D40" s="42">
        <f>SUM(D42:D48)</f>
        <v>219403.5</v>
      </c>
      <c r="E40" s="42">
        <f aca="true" t="shared" si="9" ref="E40:BH40">SUM(E42:E48)</f>
        <v>164692.43</v>
      </c>
      <c r="F40" s="42">
        <f t="shared" si="9"/>
        <v>183262.84</v>
      </c>
      <c r="G40" s="42">
        <f t="shared" si="9"/>
        <v>58772.38</v>
      </c>
      <c r="H40" s="42">
        <f t="shared" si="9"/>
        <v>336440.43</v>
      </c>
      <c r="I40" s="42">
        <f t="shared" si="9"/>
        <v>172554.75</v>
      </c>
      <c r="J40" s="42">
        <f t="shared" si="9"/>
        <v>52068.5</v>
      </c>
      <c r="K40" s="42">
        <f t="shared" si="9"/>
        <v>328443.5</v>
      </c>
      <c r="L40" s="42">
        <f t="shared" si="9"/>
        <v>162229.36</v>
      </c>
      <c r="M40" s="42">
        <f t="shared" si="9"/>
        <v>81546.26</v>
      </c>
      <c r="N40" s="42">
        <f t="shared" si="9"/>
        <v>26955.749999997617</v>
      </c>
      <c r="O40" s="42">
        <f t="shared" si="9"/>
        <v>113658.97999999998</v>
      </c>
      <c r="P40" s="42">
        <f t="shared" si="9"/>
        <v>183875.71</v>
      </c>
      <c r="Q40" s="42">
        <f t="shared" si="9"/>
        <v>147723.65</v>
      </c>
      <c r="R40" s="42">
        <f t="shared" si="9"/>
        <v>131930.09999999776</v>
      </c>
      <c r="S40" s="42">
        <f t="shared" si="9"/>
        <v>1778.25</v>
      </c>
      <c r="T40" s="42">
        <f t="shared" si="9"/>
        <v>0</v>
      </c>
      <c r="U40" s="42">
        <f t="shared" si="9"/>
        <v>38704.25</v>
      </c>
      <c r="V40" s="42">
        <f t="shared" si="9"/>
        <v>107627.27000000002</v>
      </c>
      <c r="W40" s="42">
        <f t="shared" si="9"/>
        <v>12360</v>
      </c>
      <c r="X40" s="42">
        <f t="shared" si="9"/>
        <v>41300.5</v>
      </c>
      <c r="Y40" s="42">
        <f t="shared" si="9"/>
        <v>16135</v>
      </c>
      <c r="Z40" s="42">
        <f t="shared" si="9"/>
        <v>108.25</v>
      </c>
      <c r="AA40" s="42">
        <f t="shared" si="9"/>
        <v>0</v>
      </c>
      <c r="AB40" s="42">
        <f t="shared" si="9"/>
        <v>0</v>
      </c>
      <c r="AC40" s="42">
        <f t="shared" si="9"/>
        <v>158736.3</v>
      </c>
      <c r="AD40" s="42">
        <f t="shared" si="9"/>
        <v>40</v>
      </c>
      <c r="AE40" s="42">
        <f t="shared" si="9"/>
        <v>35791.75</v>
      </c>
      <c r="AF40" s="42">
        <f t="shared" si="9"/>
        <v>0</v>
      </c>
      <c r="AG40" s="42">
        <f t="shared" si="9"/>
        <v>0</v>
      </c>
      <c r="AH40" s="42">
        <f t="shared" si="9"/>
        <v>556.25</v>
      </c>
      <c r="AI40" s="42">
        <f t="shared" si="9"/>
        <v>626</v>
      </c>
      <c r="AJ40" s="42">
        <f t="shared" si="9"/>
        <v>7553.949999999255</v>
      </c>
      <c r="AK40" s="42">
        <f t="shared" si="9"/>
        <v>17910</v>
      </c>
      <c r="AL40" s="42">
        <f t="shared" si="9"/>
        <v>0</v>
      </c>
      <c r="AM40" s="42">
        <f t="shared" si="9"/>
        <v>612.5</v>
      </c>
      <c r="AN40" s="42">
        <f t="shared" si="9"/>
        <v>450</v>
      </c>
      <c r="AO40" s="42">
        <f t="shared" si="9"/>
        <v>217107.4999999999</v>
      </c>
      <c r="AP40" s="42">
        <f t="shared" si="9"/>
        <v>26099</v>
      </c>
      <c r="AQ40" s="42">
        <f t="shared" si="9"/>
        <v>0</v>
      </c>
      <c r="AR40" s="42">
        <f t="shared" si="9"/>
        <v>3576</v>
      </c>
      <c r="AS40" s="42">
        <f t="shared" si="9"/>
        <v>608.25</v>
      </c>
      <c r="AT40" s="42">
        <f t="shared" si="9"/>
        <v>20000</v>
      </c>
      <c r="AU40" s="42">
        <f t="shared" si="9"/>
        <v>17960</v>
      </c>
      <c r="AV40" s="42">
        <f t="shared" si="9"/>
        <v>510.75</v>
      </c>
      <c r="AW40" s="42">
        <f t="shared" si="9"/>
        <v>95995.8600000001</v>
      </c>
      <c r="AX40" s="42">
        <f t="shared" si="9"/>
        <v>0</v>
      </c>
      <c r="AY40" s="42">
        <f t="shared" si="9"/>
        <v>17768.57</v>
      </c>
      <c r="AZ40" s="42">
        <f t="shared" si="9"/>
        <v>38461.75</v>
      </c>
      <c r="BA40" s="42">
        <f t="shared" si="9"/>
        <v>17799.5</v>
      </c>
      <c r="BB40" s="42">
        <f t="shared" si="9"/>
        <v>33150</v>
      </c>
      <c r="BC40" s="42">
        <f t="shared" si="9"/>
        <v>46944.44</v>
      </c>
      <c r="BD40" s="42">
        <f t="shared" si="9"/>
        <v>1466.75</v>
      </c>
      <c r="BE40" s="42">
        <f t="shared" si="9"/>
        <v>612.5</v>
      </c>
      <c r="BF40" s="42">
        <f t="shared" si="9"/>
        <v>43058.5</v>
      </c>
      <c r="BG40" s="42">
        <f t="shared" si="9"/>
        <v>0</v>
      </c>
      <c r="BH40" s="42">
        <f t="shared" si="9"/>
        <v>267.7600000000093</v>
      </c>
      <c r="BK40" s="60"/>
    </row>
    <row r="41" spans="1:63" s="25" customFormat="1" ht="12.75">
      <c r="A41" s="47"/>
      <c r="B41" s="91" t="s">
        <v>93</v>
      </c>
      <c r="C41" s="16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K41" s="60"/>
    </row>
    <row r="42" spans="1:63" ht="12.75">
      <c r="A42" s="39"/>
      <c r="B42" s="76" t="s">
        <v>107</v>
      </c>
      <c r="C42" s="16">
        <f aca="true" t="shared" si="10" ref="C42:C48">SUM(D42:BH42)</f>
        <v>1717724.98</v>
      </c>
      <c r="D42" s="40">
        <f>364020-250000</f>
        <v>114020</v>
      </c>
      <c r="E42" s="17">
        <v>15945</v>
      </c>
      <c r="F42" s="40">
        <v>35273</v>
      </c>
      <c r="G42" s="40">
        <v>55258.63</v>
      </c>
      <c r="H42" s="40">
        <v>226390</v>
      </c>
      <c r="I42" s="40">
        <f>173020-100000</f>
        <v>73020</v>
      </c>
      <c r="J42" s="40">
        <v>33185</v>
      </c>
      <c r="K42" s="40">
        <f>515793-334000</f>
        <v>181793</v>
      </c>
      <c r="L42" s="40">
        <f>307324.37-166000</f>
        <v>141324.37</v>
      </c>
      <c r="M42" s="40">
        <v>60000</v>
      </c>
      <c r="N42" s="40">
        <f>514977-500000</f>
        <v>14977</v>
      </c>
      <c r="O42" s="40">
        <f>443247.48-351969</f>
        <v>91278.47999999998</v>
      </c>
      <c r="P42" s="40">
        <v>67689</v>
      </c>
      <c r="Q42" s="40">
        <f>1057470-1000000</f>
        <v>57470</v>
      </c>
      <c r="R42" s="40">
        <v>33180</v>
      </c>
      <c r="S42" s="40"/>
      <c r="T42" s="40"/>
      <c r="U42" s="40">
        <v>1478</v>
      </c>
      <c r="V42" s="40">
        <f>1557040.77-1460554</f>
        <v>96486.77000000002</v>
      </c>
      <c r="W42" s="40">
        <v>12360</v>
      </c>
      <c r="X42" s="40">
        <v>37788</v>
      </c>
      <c r="Y42" s="40">
        <f>119920-114000</f>
        <v>5920</v>
      </c>
      <c r="Z42" s="40">
        <f>2324105.55-2324105.55</f>
        <v>0</v>
      </c>
      <c r="AA42" s="40"/>
      <c r="AB42" s="40"/>
      <c r="AC42" s="40">
        <v>40000</v>
      </c>
      <c r="AD42" s="40">
        <v>40</v>
      </c>
      <c r="AE42" s="40">
        <f>494940-480000</f>
        <v>14940</v>
      </c>
      <c r="AF42" s="40"/>
      <c r="AG42" s="40"/>
      <c r="AH42" s="40"/>
      <c r="AI42" s="40">
        <v>42</v>
      </c>
      <c r="AJ42" s="40">
        <f>1387543.75-1382734</f>
        <v>4809.75</v>
      </c>
      <c r="AK42" s="40">
        <v>16860</v>
      </c>
      <c r="AL42" s="40"/>
      <c r="AM42" s="40">
        <f>137850-137850</f>
        <v>0</v>
      </c>
      <c r="AN42" s="40">
        <f>180000-180000</f>
        <v>0</v>
      </c>
      <c r="AO42" s="40">
        <f>1160874.15-1055000</f>
        <v>105874.1499999999</v>
      </c>
      <c r="AP42" s="40">
        <v>26099</v>
      </c>
      <c r="AQ42" s="40"/>
      <c r="AR42" s="40"/>
      <c r="AS42" s="40">
        <v>200</v>
      </c>
      <c r="AT42" s="40">
        <v>20000</v>
      </c>
      <c r="AU42" s="40">
        <f>26920-8960</f>
        <v>17960</v>
      </c>
      <c r="AV42" s="40">
        <f>724000-724000</f>
        <v>0</v>
      </c>
      <c r="AW42" s="40">
        <v>20000</v>
      </c>
      <c r="AX42" s="40"/>
      <c r="AY42" s="40">
        <v>15787.32</v>
      </c>
      <c r="AZ42" s="40">
        <v>10060</v>
      </c>
      <c r="BA42" s="40">
        <v>15000</v>
      </c>
      <c r="BB42" s="40"/>
      <c r="BC42" s="40">
        <f>464980-450000</f>
        <v>14980</v>
      </c>
      <c r="BD42" s="40"/>
      <c r="BE42" s="40"/>
      <c r="BF42" s="40">
        <v>40000</v>
      </c>
      <c r="BG42" s="40">
        <f>112091.94-112091.94</f>
        <v>0</v>
      </c>
      <c r="BH42" s="40">
        <f>1692360.51-1692124</f>
        <v>236.5100000000093</v>
      </c>
      <c r="BK42" s="60"/>
    </row>
    <row r="43" spans="1:63" s="46" customFormat="1" ht="12.75">
      <c r="A43" s="43"/>
      <c r="B43" s="95" t="s">
        <v>108</v>
      </c>
      <c r="C43" s="44">
        <f t="shared" si="10"/>
        <v>278495.09999999474</v>
      </c>
      <c r="D43" s="45">
        <f>8750000-8750000</f>
        <v>0</v>
      </c>
      <c r="E43" s="56"/>
      <c r="F43" s="45">
        <f>14622418.8-14542762.8</f>
        <v>79656</v>
      </c>
      <c r="G43" s="45">
        <f>28636345-28636345</f>
        <v>0</v>
      </c>
      <c r="H43" s="45">
        <f>36813564.99-36813564.99</f>
        <v>0</v>
      </c>
      <c r="I43" s="45">
        <f>14979193.38-14979193.38</f>
        <v>0</v>
      </c>
      <c r="J43" s="45">
        <f>45987404.22-45987404.22</f>
        <v>0</v>
      </c>
      <c r="K43" s="45">
        <f>1073493.58-1073493.58</f>
        <v>0</v>
      </c>
      <c r="L43" s="45">
        <f>28349692.39-28349692.39</f>
        <v>0</v>
      </c>
      <c r="M43" s="45">
        <f>19368193.96-19368193.96</f>
        <v>0</v>
      </c>
      <c r="N43" s="45">
        <f>58254125.44-58250000</f>
        <v>4125.439999997616</v>
      </c>
      <c r="O43" s="45">
        <f>23162931.23-23162931.23</f>
        <v>0</v>
      </c>
      <c r="P43" s="45">
        <f>49071740.13-49071740.13</f>
        <v>0</v>
      </c>
      <c r="Q43" s="45">
        <f>22161665.94-22161665.94</f>
        <v>0</v>
      </c>
      <c r="R43" s="45">
        <f>22125694.31-22039955.46</f>
        <v>85738.84999999776</v>
      </c>
      <c r="S43" s="45">
        <f>48507645.19-48507645.19</f>
        <v>0</v>
      </c>
      <c r="T43" s="45">
        <f>10180000-10180000</f>
        <v>0</v>
      </c>
      <c r="U43" s="45">
        <f>7472775-7472775</f>
        <v>0</v>
      </c>
      <c r="V43" s="45">
        <f>31309563.15-31309563.15</f>
        <v>0</v>
      </c>
      <c r="W43" s="45">
        <f>11924822-11924822</f>
        <v>0</v>
      </c>
      <c r="X43" s="45">
        <f>13226704.94-13226704.94</f>
        <v>0</v>
      </c>
      <c r="Y43" s="45">
        <f>20581695.5-20581695.5</f>
        <v>0</v>
      </c>
      <c r="Z43" s="45">
        <f>37160352.87-37160352.87</f>
        <v>0</v>
      </c>
      <c r="AA43" s="45"/>
      <c r="AB43" s="45">
        <f>337904.73-337904.73</f>
        <v>0</v>
      </c>
      <c r="AC43" s="45">
        <f>35880493.93-35880493.93</f>
        <v>0</v>
      </c>
      <c r="AD43" s="45">
        <f>33448730.46-33448730.46</f>
        <v>0</v>
      </c>
      <c r="AE43" s="45">
        <f>15000000-15000000</f>
        <v>0</v>
      </c>
      <c r="AF43" s="45"/>
      <c r="AG43" s="45">
        <f>5659374.33-5659374.33</f>
        <v>0</v>
      </c>
      <c r="AH43" s="45">
        <f>8657335.86-8657335.86</f>
        <v>0</v>
      </c>
      <c r="AI43" s="45">
        <f>22565300-22565300</f>
        <v>0</v>
      </c>
      <c r="AJ43" s="45">
        <f>17174519.58-17172817.88</f>
        <v>1701.699999999255</v>
      </c>
      <c r="AK43" s="45"/>
      <c r="AL43" s="45">
        <f>4104956.2-4104956.2</f>
        <v>0</v>
      </c>
      <c r="AM43" s="45"/>
      <c r="AN43" s="45">
        <f>18365543.62-18365543.62</f>
        <v>0</v>
      </c>
      <c r="AO43" s="45">
        <f>19930812.87-19930812.87</f>
        <v>0</v>
      </c>
      <c r="AP43" s="45">
        <f>8467203.8-8467203.8</f>
        <v>0</v>
      </c>
      <c r="AQ43" s="45"/>
      <c r="AR43" s="45">
        <f>26710983.79-26710972.79</f>
        <v>11</v>
      </c>
      <c r="AS43" s="45">
        <f>44784422.28-44784422.28</f>
        <v>0</v>
      </c>
      <c r="AT43" s="45">
        <f>701389.8-701389.8</f>
        <v>0</v>
      </c>
      <c r="AU43" s="45">
        <f>5866702-5866702</f>
        <v>0</v>
      </c>
      <c r="AV43" s="45">
        <f>500000-500000</f>
        <v>0</v>
      </c>
      <c r="AW43" s="45">
        <f>2074112.11-2000000</f>
        <v>74112.1100000001</v>
      </c>
      <c r="AX43" s="45">
        <f>2440650-2440650</f>
        <v>0</v>
      </c>
      <c r="AY43" s="45">
        <f>29544639.82-29544639.82</f>
        <v>0</v>
      </c>
      <c r="AZ43" s="45">
        <f>38153670-38153670</f>
        <v>0</v>
      </c>
      <c r="BA43" s="45">
        <f>11700000-11700000</f>
        <v>0</v>
      </c>
      <c r="BB43" s="45">
        <f>41929900.94-41896750.94</f>
        <v>33150</v>
      </c>
      <c r="BC43" s="45">
        <f>3573920-3573920</f>
        <v>0</v>
      </c>
      <c r="BD43" s="45">
        <f>6068900-6068900</f>
        <v>0</v>
      </c>
      <c r="BE43" s="45">
        <f>15828180-15828180</f>
        <v>0</v>
      </c>
      <c r="BF43" s="45">
        <f>6545635.05-6545635.05</f>
        <v>0</v>
      </c>
      <c r="BG43" s="45">
        <f>17927214.02-17927214.02</f>
        <v>0</v>
      </c>
      <c r="BH43" s="45">
        <f>3735232-3735232</f>
        <v>0</v>
      </c>
      <c r="BK43" s="99"/>
    </row>
    <row r="44" spans="1:256" s="65" customFormat="1" ht="24">
      <c r="A44" s="62"/>
      <c r="B44" s="92" t="s">
        <v>109</v>
      </c>
      <c r="C44" s="98">
        <f t="shared" si="10"/>
        <v>84663.05</v>
      </c>
      <c r="D44" s="63"/>
      <c r="E44" s="64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>
        <v>3655.69</v>
      </c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>
        <v>49042.92</v>
      </c>
      <c r="AD44" s="63"/>
      <c r="AE44" s="63"/>
      <c r="AF44" s="63"/>
      <c r="AG44" s="63"/>
      <c r="AH44" s="63"/>
      <c r="AI44" s="63">
        <f>135500-135500</f>
        <v>0</v>
      </c>
      <c r="AJ44" s="63"/>
      <c r="AK44" s="63"/>
      <c r="AL44" s="63"/>
      <c r="AM44" s="63"/>
      <c r="AN44" s="63"/>
      <c r="AO44" s="63"/>
      <c r="AP44" s="63">
        <f>43482.2-43482.2</f>
        <v>0</v>
      </c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>
        <v>31964.44</v>
      </c>
      <c r="BD44" s="63"/>
      <c r="BE44" s="63"/>
      <c r="BF44" s="63"/>
      <c r="BG44" s="63"/>
      <c r="BH44" s="63">
        <f>5500000-5500000</f>
        <v>0</v>
      </c>
      <c r="BI44" s="100"/>
      <c r="BJ44" s="100"/>
      <c r="BK44" s="101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</row>
    <row r="45" spans="1:63" s="46" customFormat="1" ht="24">
      <c r="A45" s="43"/>
      <c r="B45" s="102" t="s">
        <v>110</v>
      </c>
      <c r="C45" s="103">
        <f t="shared" si="10"/>
        <v>73815.39</v>
      </c>
      <c r="D45" s="45"/>
      <c r="E45" s="56"/>
      <c r="F45" s="45"/>
      <c r="G45" s="45"/>
      <c r="H45" s="45"/>
      <c r="I45" s="45"/>
      <c r="J45" s="45">
        <f>11698012.95-11698012.95</f>
        <v>0</v>
      </c>
      <c r="K45" s="45"/>
      <c r="L45" s="45">
        <f>1084901.2-1084901.2</f>
        <v>0</v>
      </c>
      <c r="M45" s="45"/>
      <c r="N45" s="45"/>
      <c r="O45" s="45">
        <v>7560</v>
      </c>
      <c r="P45" s="45">
        <v>2653.76</v>
      </c>
      <c r="Q45" s="45"/>
      <c r="R45" s="45"/>
      <c r="S45" s="45"/>
      <c r="T45" s="45"/>
      <c r="U45" s="45"/>
      <c r="V45" s="45"/>
      <c r="W45" s="45"/>
      <c r="X45" s="45">
        <f>4479088.44-4479088.44</f>
        <v>0</v>
      </c>
      <c r="Y45" s="45"/>
      <c r="Z45" s="45"/>
      <c r="AA45" s="45"/>
      <c r="AB45" s="45">
        <f>482290-482290</f>
        <v>0</v>
      </c>
      <c r="AC45" s="45">
        <f>682113.33-618511.7</f>
        <v>63601.630000000005</v>
      </c>
      <c r="AD45" s="45"/>
      <c r="AE45" s="45">
        <f>1266000.36-1266000.36</f>
        <v>0</v>
      </c>
      <c r="AF45" s="45">
        <f>15458794.76-15458794.76</f>
        <v>0</v>
      </c>
      <c r="AG45" s="45"/>
      <c r="AH45" s="45"/>
      <c r="AI45" s="45">
        <f>7237930-7237930</f>
        <v>0</v>
      </c>
      <c r="AJ45" s="45">
        <f>459846.43-459846.43</f>
        <v>0</v>
      </c>
      <c r="AK45" s="45"/>
      <c r="AL45" s="45"/>
      <c r="AM45" s="45"/>
      <c r="AN45" s="45"/>
      <c r="AO45" s="45">
        <f>2206354.54-2206354.54</f>
        <v>0</v>
      </c>
      <c r="AP45" s="45"/>
      <c r="AQ45" s="45"/>
      <c r="AR45" s="45"/>
      <c r="AS45" s="45">
        <f>3031569.61-3031569.61</f>
        <v>0</v>
      </c>
      <c r="AT45" s="45"/>
      <c r="AU45" s="45"/>
      <c r="AV45" s="45">
        <f>1699152.32-1699152.32</f>
        <v>0</v>
      </c>
      <c r="AW45" s="45"/>
      <c r="AX45" s="45"/>
      <c r="AY45" s="45">
        <f>79517.17-79517.17</f>
        <v>0</v>
      </c>
      <c r="AZ45" s="45"/>
      <c r="BA45" s="45">
        <f>1963092-1963092</f>
        <v>0</v>
      </c>
      <c r="BB45" s="45"/>
      <c r="BC45" s="45"/>
      <c r="BD45" s="45">
        <f>878706.07-878706.07</f>
        <v>0</v>
      </c>
      <c r="BE45" s="45">
        <f>8517701-8517701</f>
        <v>0</v>
      </c>
      <c r="BF45" s="45"/>
      <c r="BG45" s="45"/>
      <c r="BH45" s="45"/>
      <c r="BK45" s="99"/>
    </row>
    <row r="46" spans="1:63" s="65" customFormat="1" ht="25.5">
      <c r="A46" s="62"/>
      <c r="B46" s="92" t="s">
        <v>106</v>
      </c>
      <c r="C46" s="16">
        <f t="shared" si="10"/>
        <v>4950.6</v>
      </c>
      <c r="D46" s="63"/>
      <c r="E46" s="64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>
        <v>4950.6</v>
      </c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K46" s="60"/>
    </row>
    <row r="47" spans="1:63" ht="12.75">
      <c r="A47" s="39"/>
      <c r="B47" s="90" t="s">
        <v>83</v>
      </c>
      <c r="C47" s="16">
        <f t="shared" si="10"/>
        <v>1130220.92</v>
      </c>
      <c r="D47" s="40">
        <v>105383.5</v>
      </c>
      <c r="E47" s="17">
        <v>148747.43</v>
      </c>
      <c r="F47" s="40">
        <v>68333.84</v>
      </c>
      <c r="G47" s="40">
        <v>3513.75</v>
      </c>
      <c r="H47" s="40">
        <v>110050.43</v>
      </c>
      <c r="I47" s="40">
        <v>99534.75</v>
      </c>
      <c r="J47" s="40">
        <v>18883.5</v>
      </c>
      <c r="K47" s="40">
        <v>146650.5</v>
      </c>
      <c r="L47" s="40">
        <v>20904.99</v>
      </c>
      <c r="M47" s="40">
        <v>21546.26</v>
      </c>
      <c r="N47" s="40">
        <v>7853.31</v>
      </c>
      <c r="O47" s="40">
        <v>14820.5</v>
      </c>
      <c r="P47" s="40">
        <v>109877.26</v>
      </c>
      <c r="Q47" s="40">
        <v>90253.65</v>
      </c>
      <c r="R47" s="40">
        <v>13011.25</v>
      </c>
      <c r="S47" s="40">
        <v>1778.25</v>
      </c>
      <c r="T47" s="40"/>
      <c r="U47" s="40">
        <v>37226.25</v>
      </c>
      <c r="V47" s="40">
        <v>11140.5</v>
      </c>
      <c r="W47" s="40"/>
      <c r="X47" s="40">
        <v>3512.5</v>
      </c>
      <c r="Y47" s="40">
        <v>10215</v>
      </c>
      <c r="Z47" s="40">
        <v>108.25</v>
      </c>
      <c r="AA47" s="40"/>
      <c r="AB47" s="40"/>
      <c r="AC47" s="40">
        <v>6091.75</v>
      </c>
      <c r="AD47" s="40"/>
      <c r="AE47" s="40">
        <v>20851.75</v>
      </c>
      <c r="AF47" s="40"/>
      <c r="AG47" s="40"/>
      <c r="AH47" s="40">
        <v>556.25</v>
      </c>
      <c r="AI47" s="40">
        <v>584</v>
      </c>
      <c r="AJ47" s="40">
        <v>1042.5</v>
      </c>
      <c r="AK47" s="40">
        <v>1050</v>
      </c>
      <c r="AL47" s="40"/>
      <c r="AM47" s="40">
        <v>612.5</v>
      </c>
      <c r="AN47" s="40">
        <v>450</v>
      </c>
      <c r="AO47" s="40">
        <v>10917.25</v>
      </c>
      <c r="AP47" s="40"/>
      <c r="AQ47" s="40"/>
      <c r="AR47" s="40">
        <v>3565</v>
      </c>
      <c r="AS47" s="40">
        <v>408.25</v>
      </c>
      <c r="AT47" s="40"/>
      <c r="AU47" s="40"/>
      <c r="AV47" s="40">
        <v>510.75</v>
      </c>
      <c r="AW47" s="40">
        <v>1883.75</v>
      </c>
      <c r="AX47" s="40"/>
      <c r="AY47" s="40">
        <v>1981.25</v>
      </c>
      <c r="AZ47" s="40">
        <v>28401.75</v>
      </c>
      <c r="BA47" s="40">
        <v>2799.5</v>
      </c>
      <c r="BB47" s="40"/>
      <c r="BC47" s="40"/>
      <c r="BD47" s="40">
        <v>1466.75</v>
      </c>
      <c r="BE47" s="40">
        <v>612.5</v>
      </c>
      <c r="BF47" s="40">
        <v>3058.5</v>
      </c>
      <c r="BG47" s="40"/>
      <c r="BH47" s="40">
        <v>31.25</v>
      </c>
      <c r="BK47" s="60"/>
    </row>
    <row r="48" spans="1:63" ht="12.75">
      <c r="A48" s="39"/>
      <c r="B48" s="90" t="s">
        <v>101</v>
      </c>
      <c r="C48" s="16">
        <f t="shared" si="10"/>
        <v>95365.5</v>
      </c>
      <c r="D48" s="40"/>
      <c r="E48" s="17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>
        <v>95365.5</v>
      </c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K48" s="60"/>
    </row>
    <row r="49" spans="1:63" ht="13.5" thickBot="1">
      <c r="A49" s="15"/>
      <c r="B49" s="76"/>
      <c r="C49" s="16"/>
      <c r="D49" s="40"/>
      <c r="E49" s="17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K49" s="60"/>
    </row>
    <row r="50" spans="1:63" s="35" customFormat="1" ht="14.25" thickBot="1" thickTop="1">
      <c r="A50" s="48" t="s">
        <v>70</v>
      </c>
      <c r="B50" s="93" t="s">
        <v>71</v>
      </c>
      <c r="C50" s="49">
        <f aca="true" t="shared" si="11" ref="C50:C58">SUM(D50:BH50)</f>
        <v>10663847.859999996</v>
      </c>
      <c r="D50" s="49">
        <f aca="true" t="shared" si="12" ref="D50:AI50">SUM(D31,D40)</f>
        <v>259403.5</v>
      </c>
      <c r="E50" s="49">
        <f t="shared" si="12"/>
        <v>164851.43</v>
      </c>
      <c r="F50" s="49">
        <f t="shared" si="12"/>
        <v>219504.84</v>
      </c>
      <c r="G50" s="49">
        <f t="shared" si="12"/>
        <v>485151.61</v>
      </c>
      <c r="H50" s="49">
        <f t="shared" si="12"/>
        <v>522430.07999999996</v>
      </c>
      <c r="I50" s="49">
        <f t="shared" si="12"/>
        <v>1703831.1400000001</v>
      </c>
      <c r="J50" s="49">
        <f t="shared" si="12"/>
        <v>197805.72</v>
      </c>
      <c r="K50" s="49">
        <f t="shared" si="12"/>
        <v>1120769.15</v>
      </c>
      <c r="L50" s="49">
        <f t="shared" si="12"/>
        <v>185373.49</v>
      </c>
      <c r="M50" s="49">
        <f t="shared" si="12"/>
        <v>1478857.59</v>
      </c>
      <c r="N50" s="49">
        <f t="shared" si="12"/>
        <v>933996.1799999976</v>
      </c>
      <c r="O50" s="49">
        <f t="shared" si="12"/>
        <v>379486.04</v>
      </c>
      <c r="P50" s="49">
        <f t="shared" si="12"/>
        <v>197532.71</v>
      </c>
      <c r="Q50" s="49">
        <f t="shared" si="12"/>
        <v>217664.65</v>
      </c>
      <c r="R50" s="49">
        <f t="shared" si="12"/>
        <v>196692.42999999778</v>
      </c>
      <c r="S50" s="49">
        <f t="shared" si="12"/>
        <v>1778.25</v>
      </c>
      <c r="T50" s="49">
        <f t="shared" si="12"/>
        <v>197672.53</v>
      </c>
      <c r="U50" s="49">
        <f t="shared" si="12"/>
        <v>170222.4</v>
      </c>
      <c r="V50" s="49">
        <f t="shared" si="12"/>
        <v>107627.27000000002</v>
      </c>
      <c r="W50" s="49">
        <f t="shared" si="12"/>
        <v>12360</v>
      </c>
      <c r="X50" s="49">
        <f t="shared" si="12"/>
        <v>161816.5</v>
      </c>
      <c r="Y50" s="49">
        <f t="shared" si="12"/>
        <v>139385.32</v>
      </c>
      <c r="Z50" s="49">
        <f t="shared" si="12"/>
        <v>108.25</v>
      </c>
      <c r="AA50" s="49">
        <f t="shared" si="12"/>
        <v>21311</v>
      </c>
      <c r="AB50" s="49">
        <f t="shared" si="12"/>
        <v>0</v>
      </c>
      <c r="AC50" s="49">
        <f t="shared" si="12"/>
        <v>158736.3</v>
      </c>
      <c r="AD50" s="49">
        <f t="shared" si="12"/>
        <v>40</v>
      </c>
      <c r="AE50" s="49">
        <f t="shared" si="12"/>
        <v>35791.75</v>
      </c>
      <c r="AF50" s="49">
        <f t="shared" si="12"/>
        <v>0</v>
      </c>
      <c r="AG50" s="49">
        <f t="shared" si="12"/>
        <v>0</v>
      </c>
      <c r="AH50" s="49">
        <f t="shared" si="12"/>
        <v>556.25</v>
      </c>
      <c r="AI50" s="49">
        <f t="shared" si="12"/>
        <v>626</v>
      </c>
      <c r="AJ50" s="49">
        <f aca="true" t="shared" si="13" ref="AJ50:BH50">SUM(AJ31,AJ40)</f>
        <v>7553.949999999255</v>
      </c>
      <c r="AK50" s="49">
        <f t="shared" si="13"/>
        <v>70136</v>
      </c>
      <c r="AL50" s="49">
        <f t="shared" si="13"/>
        <v>21701</v>
      </c>
      <c r="AM50" s="49">
        <f t="shared" si="13"/>
        <v>612.5</v>
      </c>
      <c r="AN50" s="49">
        <f t="shared" si="13"/>
        <v>450</v>
      </c>
      <c r="AO50" s="49">
        <f t="shared" si="13"/>
        <v>817033.9999999999</v>
      </c>
      <c r="AP50" s="49">
        <f t="shared" si="13"/>
        <v>26099</v>
      </c>
      <c r="AQ50" s="49">
        <f t="shared" si="13"/>
        <v>0</v>
      </c>
      <c r="AR50" s="49">
        <f t="shared" si="13"/>
        <v>10742</v>
      </c>
      <c r="AS50" s="49">
        <f t="shared" si="13"/>
        <v>54171.25</v>
      </c>
      <c r="AT50" s="49">
        <f t="shared" si="13"/>
        <v>44444.4</v>
      </c>
      <c r="AU50" s="49">
        <f t="shared" si="13"/>
        <v>17960</v>
      </c>
      <c r="AV50" s="49">
        <f t="shared" si="13"/>
        <v>11476.75</v>
      </c>
      <c r="AW50" s="49">
        <f t="shared" si="13"/>
        <v>95995.8600000001</v>
      </c>
      <c r="AX50" s="49">
        <f t="shared" si="13"/>
        <v>0</v>
      </c>
      <c r="AY50" s="49">
        <f t="shared" si="13"/>
        <v>17768.57</v>
      </c>
      <c r="AZ50" s="49">
        <f t="shared" si="13"/>
        <v>38461.75</v>
      </c>
      <c r="BA50" s="49">
        <f t="shared" si="13"/>
        <v>17799.5</v>
      </c>
      <c r="BB50" s="49">
        <f t="shared" si="13"/>
        <v>47709</v>
      </c>
      <c r="BC50" s="49">
        <f t="shared" si="13"/>
        <v>46944.44</v>
      </c>
      <c r="BD50" s="49">
        <f t="shared" si="13"/>
        <v>1466.75</v>
      </c>
      <c r="BE50" s="49">
        <f t="shared" si="13"/>
        <v>612.5</v>
      </c>
      <c r="BF50" s="49">
        <f t="shared" si="13"/>
        <v>43058.5</v>
      </c>
      <c r="BG50" s="49">
        <f t="shared" si="13"/>
        <v>0</v>
      </c>
      <c r="BH50" s="49">
        <f t="shared" si="13"/>
        <v>267.7600000000093</v>
      </c>
      <c r="BK50" s="60"/>
    </row>
    <row r="51" spans="1:63" s="38" customFormat="1" ht="14.25" thickBot="1" thickTop="1">
      <c r="A51" s="50" t="s">
        <v>72</v>
      </c>
      <c r="B51" s="94" t="s">
        <v>73</v>
      </c>
      <c r="C51" s="51">
        <f t="shared" si="11"/>
        <v>-8287127.569999996</v>
      </c>
      <c r="D51" s="51">
        <f aca="true" t="shared" si="14" ref="D51:AI51">D27-D50</f>
        <v>-259403.5</v>
      </c>
      <c r="E51" s="51">
        <f t="shared" si="14"/>
        <v>-164851.43</v>
      </c>
      <c r="F51" s="51">
        <f t="shared" si="14"/>
        <v>658006.37</v>
      </c>
      <c r="G51" s="51">
        <f t="shared" si="14"/>
        <v>-453831.61</v>
      </c>
      <c r="H51" s="51">
        <f t="shared" si="14"/>
        <v>-522430.07999999996</v>
      </c>
      <c r="I51" s="51">
        <f t="shared" si="14"/>
        <v>-1554207.4300000002</v>
      </c>
      <c r="J51" s="51">
        <f t="shared" si="14"/>
        <v>-197805.72</v>
      </c>
      <c r="K51" s="51">
        <f t="shared" si="14"/>
        <v>-239769.1499999999</v>
      </c>
      <c r="L51" s="51">
        <f t="shared" si="14"/>
        <v>-185373.49</v>
      </c>
      <c r="M51" s="51">
        <f t="shared" si="14"/>
        <v>-1463579.59</v>
      </c>
      <c r="N51" s="51">
        <f t="shared" si="14"/>
        <v>-931644.1799999976</v>
      </c>
      <c r="O51" s="51">
        <f t="shared" si="14"/>
        <v>-379486.04</v>
      </c>
      <c r="P51" s="51">
        <f t="shared" si="14"/>
        <v>-197532.71</v>
      </c>
      <c r="Q51" s="51">
        <f t="shared" si="14"/>
        <v>-217664.65</v>
      </c>
      <c r="R51" s="51">
        <f t="shared" si="14"/>
        <v>-196692.42999999778</v>
      </c>
      <c r="S51" s="51">
        <f t="shared" si="14"/>
        <v>161.75</v>
      </c>
      <c r="T51" s="51">
        <f t="shared" si="14"/>
        <v>-191752.53</v>
      </c>
      <c r="U51" s="51">
        <f t="shared" si="14"/>
        <v>-170222.4</v>
      </c>
      <c r="V51" s="51">
        <f t="shared" si="14"/>
        <v>-107627.27000000002</v>
      </c>
      <c r="W51" s="51">
        <f t="shared" si="14"/>
        <v>-11116.25</v>
      </c>
      <c r="X51" s="51">
        <f t="shared" si="14"/>
        <v>-161816.5</v>
      </c>
      <c r="Y51" s="51">
        <f t="shared" si="14"/>
        <v>-139385.32</v>
      </c>
      <c r="Z51" s="51">
        <f t="shared" si="14"/>
        <v>-108.25</v>
      </c>
      <c r="AA51" s="51">
        <f t="shared" si="14"/>
        <v>-21311</v>
      </c>
      <c r="AB51" s="51">
        <f t="shared" si="14"/>
        <v>0</v>
      </c>
      <c r="AC51" s="51">
        <f t="shared" si="14"/>
        <v>-158736.3</v>
      </c>
      <c r="AD51" s="51">
        <f t="shared" si="14"/>
        <v>-40</v>
      </c>
      <c r="AE51" s="51">
        <f t="shared" si="14"/>
        <v>-35791.75</v>
      </c>
      <c r="AF51" s="51">
        <f t="shared" si="14"/>
        <v>0</v>
      </c>
      <c r="AG51" s="51">
        <f t="shared" si="14"/>
        <v>4511</v>
      </c>
      <c r="AH51" s="51">
        <f t="shared" si="14"/>
        <v>-556.25</v>
      </c>
      <c r="AI51" s="51">
        <f t="shared" si="14"/>
        <v>-626</v>
      </c>
      <c r="AJ51" s="51">
        <f aca="true" t="shared" si="15" ref="AJ51:BH51">AJ27-AJ50</f>
        <v>2506.050000000745</v>
      </c>
      <c r="AK51" s="51">
        <f t="shared" si="15"/>
        <v>-70136</v>
      </c>
      <c r="AL51" s="51">
        <f t="shared" si="15"/>
        <v>-21701</v>
      </c>
      <c r="AM51" s="51">
        <f t="shared" si="15"/>
        <v>-612.5</v>
      </c>
      <c r="AN51" s="51">
        <f t="shared" si="15"/>
        <v>-450</v>
      </c>
      <c r="AO51" s="51">
        <f t="shared" si="15"/>
        <v>-817033.9999999999</v>
      </c>
      <c r="AP51" s="51">
        <f t="shared" si="15"/>
        <v>-4040.5800000000017</v>
      </c>
      <c r="AQ51" s="51">
        <f t="shared" si="15"/>
        <v>0</v>
      </c>
      <c r="AR51" s="51">
        <f t="shared" si="15"/>
        <v>-10742</v>
      </c>
      <c r="AS51" s="51">
        <f t="shared" si="15"/>
        <v>-54171.25</v>
      </c>
      <c r="AT51" s="51">
        <f t="shared" si="15"/>
        <v>-44444.4</v>
      </c>
      <c r="AU51" s="51">
        <f t="shared" si="15"/>
        <v>-17960</v>
      </c>
      <c r="AV51" s="51">
        <f t="shared" si="15"/>
        <v>-11476.75</v>
      </c>
      <c r="AW51" s="51">
        <f t="shared" si="15"/>
        <v>-95995.8600000001</v>
      </c>
      <c r="AX51" s="51">
        <f t="shared" si="15"/>
        <v>0</v>
      </c>
      <c r="AY51" s="51">
        <f t="shared" si="15"/>
        <v>-17768.57</v>
      </c>
      <c r="AZ51" s="51">
        <f t="shared" si="15"/>
        <v>-38461.75</v>
      </c>
      <c r="BA51" s="51">
        <f t="shared" si="15"/>
        <v>-17799.5</v>
      </c>
      <c r="BB51" s="51">
        <f t="shared" si="15"/>
        <v>-47709</v>
      </c>
      <c r="BC51" s="51">
        <f t="shared" si="15"/>
        <v>-46944.44</v>
      </c>
      <c r="BD51" s="51">
        <f t="shared" si="15"/>
        <v>-1466.75</v>
      </c>
      <c r="BE51" s="51">
        <f t="shared" si="15"/>
        <v>-612.5</v>
      </c>
      <c r="BF51" s="51">
        <f t="shared" si="15"/>
        <v>-43058.5</v>
      </c>
      <c r="BG51" s="51">
        <f t="shared" si="15"/>
        <v>357094.2</v>
      </c>
      <c r="BH51" s="51">
        <f t="shared" si="15"/>
        <v>16540.23999999999</v>
      </c>
      <c r="BK51" s="60"/>
    </row>
    <row r="52" spans="1:63" ht="13.5" hidden="1" thickTop="1">
      <c r="A52" s="15" t="s">
        <v>74</v>
      </c>
      <c r="B52" s="76" t="s">
        <v>79</v>
      </c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K52" s="60"/>
    </row>
    <row r="53" spans="1:63" ht="12.75" hidden="1">
      <c r="A53" s="15"/>
      <c r="B53" s="76" t="s">
        <v>78</v>
      </c>
      <c r="C53" s="16">
        <f t="shared" si="11"/>
        <v>0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K53" s="60"/>
    </row>
    <row r="54" spans="1:63" ht="12.75" hidden="1">
      <c r="A54" s="15"/>
      <c r="B54" s="76" t="s">
        <v>88</v>
      </c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K54" s="60"/>
    </row>
    <row r="55" spans="1:63" ht="12.75" hidden="1">
      <c r="A55" s="15"/>
      <c r="B55" s="76" t="s">
        <v>89</v>
      </c>
      <c r="C55" s="16">
        <f t="shared" si="11"/>
        <v>0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K55" s="60"/>
    </row>
    <row r="56" spans="1:63" ht="12.75" hidden="1">
      <c r="A56" s="15"/>
      <c r="B56" s="76" t="s">
        <v>81</v>
      </c>
      <c r="C56" s="16">
        <f t="shared" si="11"/>
        <v>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K56" s="60"/>
    </row>
    <row r="57" spans="1:63" ht="12.75" hidden="1">
      <c r="A57" s="15"/>
      <c r="B57" s="95" t="s">
        <v>80</v>
      </c>
      <c r="C57" s="16">
        <f t="shared" si="11"/>
        <v>0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K57" s="60"/>
    </row>
    <row r="58" spans="1:63" ht="13.5" hidden="1" thickBot="1">
      <c r="A58" s="52"/>
      <c r="B58" s="96" t="s">
        <v>90</v>
      </c>
      <c r="C58" s="53">
        <f t="shared" si="11"/>
        <v>0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K58" s="60"/>
    </row>
    <row r="59" ht="13.5" thickTop="1">
      <c r="AW59" s="3"/>
    </row>
    <row r="61" ht="12.75" hidden="1"/>
    <row r="62" spans="2:60" ht="12.75" hidden="1">
      <c r="B62" s="97" t="s">
        <v>91</v>
      </c>
      <c r="C62" s="61">
        <f>SUM(C34:C36)</f>
        <v>3870190.72</v>
      </c>
      <c r="D62" s="61">
        <f>SUM(D34:D36)</f>
        <v>0</v>
      </c>
      <c r="E62" s="61">
        <f aca="true" t="shared" si="16" ref="E62:BH62">SUM(E34:E36)</f>
        <v>0</v>
      </c>
      <c r="F62" s="61">
        <f t="shared" si="16"/>
        <v>0</v>
      </c>
      <c r="G62" s="61">
        <f t="shared" si="16"/>
        <v>0</v>
      </c>
      <c r="H62" s="61">
        <f t="shared" si="16"/>
        <v>0</v>
      </c>
      <c r="I62" s="61">
        <f t="shared" si="16"/>
        <v>1407860.55</v>
      </c>
      <c r="J62" s="61">
        <f t="shared" si="16"/>
        <v>0</v>
      </c>
      <c r="K62" s="61">
        <f t="shared" si="16"/>
        <v>0</v>
      </c>
      <c r="L62" s="61">
        <f t="shared" si="16"/>
        <v>0</v>
      </c>
      <c r="M62" s="61">
        <f t="shared" si="16"/>
        <v>1110360.23</v>
      </c>
      <c r="N62" s="61">
        <f t="shared" si="16"/>
        <v>772723.36</v>
      </c>
      <c r="O62" s="61">
        <f t="shared" si="16"/>
        <v>0</v>
      </c>
      <c r="P62" s="61">
        <f t="shared" si="16"/>
        <v>0</v>
      </c>
      <c r="Q62" s="61">
        <f t="shared" si="16"/>
        <v>0</v>
      </c>
      <c r="R62" s="61">
        <f t="shared" si="16"/>
        <v>64762.33</v>
      </c>
      <c r="S62" s="61">
        <f t="shared" si="16"/>
        <v>0</v>
      </c>
      <c r="T62" s="61">
        <f t="shared" si="16"/>
        <v>185297.53</v>
      </c>
      <c r="U62" s="61">
        <f t="shared" si="16"/>
        <v>0</v>
      </c>
      <c r="V62" s="61">
        <f t="shared" si="16"/>
        <v>0</v>
      </c>
      <c r="W62" s="61">
        <f t="shared" si="16"/>
        <v>0</v>
      </c>
      <c r="X62" s="61">
        <f t="shared" si="16"/>
        <v>0</v>
      </c>
      <c r="Y62" s="61">
        <f t="shared" si="16"/>
        <v>123250.32</v>
      </c>
      <c r="Z62" s="61">
        <f t="shared" si="16"/>
        <v>0</v>
      </c>
      <c r="AA62" s="61">
        <f t="shared" si="16"/>
        <v>21311</v>
      </c>
      <c r="AB62" s="61">
        <f t="shared" si="16"/>
        <v>0</v>
      </c>
      <c r="AC62" s="61">
        <f t="shared" si="16"/>
        <v>0</v>
      </c>
      <c r="AD62" s="61">
        <f t="shared" si="16"/>
        <v>0</v>
      </c>
      <c r="AE62" s="61">
        <f t="shared" si="16"/>
        <v>0</v>
      </c>
      <c r="AF62" s="61">
        <f t="shared" si="16"/>
        <v>0</v>
      </c>
      <c r="AG62" s="61">
        <f t="shared" si="16"/>
        <v>0</v>
      </c>
      <c r="AH62" s="61">
        <f t="shared" si="16"/>
        <v>0</v>
      </c>
      <c r="AI62" s="61">
        <f t="shared" si="16"/>
        <v>0</v>
      </c>
      <c r="AJ62" s="61">
        <f t="shared" si="16"/>
        <v>0</v>
      </c>
      <c r="AK62" s="61">
        <f t="shared" si="16"/>
        <v>52226</v>
      </c>
      <c r="AL62" s="61">
        <f t="shared" si="16"/>
        <v>21701</v>
      </c>
      <c r="AM62" s="61">
        <f t="shared" si="16"/>
        <v>0</v>
      </c>
      <c r="AN62" s="61">
        <f t="shared" si="16"/>
        <v>0</v>
      </c>
      <c r="AO62" s="61">
        <f t="shared" si="16"/>
        <v>0</v>
      </c>
      <c r="AP62" s="61">
        <f t="shared" si="16"/>
        <v>0</v>
      </c>
      <c r="AQ62" s="61">
        <f t="shared" si="16"/>
        <v>0</v>
      </c>
      <c r="AR62" s="61">
        <f t="shared" si="16"/>
        <v>7166</v>
      </c>
      <c r="AS62" s="61">
        <f t="shared" si="16"/>
        <v>53563</v>
      </c>
      <c r="AT62" s="61">
        <f t="shared" si="16"/>
        <v>24444.4</v>
      </c>
      <c r="AU62" s="61">
        <f t="shared" si="16"/>
        <v>0</v>
      </c>
      <c r="AV62" s="61">
        <f t="shared" si="16"/>
        <v>10966</v>
      </c>
      <c r="AW62" s="61">
        <f t="shared" si="16"/>
        <v>0</v>
      </c>
      <c r="AX62" s="61">
        <f t="shared" si="16"/>
        <v>0</v>
      </c>
      <c r="AY62" s="61">
        <f t="shared" si="16"/>
        <v>0</v>
      </c>
      <c r="AZ62" s="61">
        <f t="shared" si="16"/>
        <v>0</v>
      </c>
      <c r="BA62" s="61">
        <f t="shared" si="16"/>
        <v>0</v>
      </c>
      <c r="BB62" s="61">
        <f t="shared" si="16"/>
        <v>14559</v>
      </c>
      <c r="BC62" s="61">
        <f t="shared" si="16"/>
        <v>0</v>
      </c>
      <c r="BD62" s="61">
        <f t="shared" si="16"/>
        <v>0</v>
      </c>
      <c r="BE62" s="61">
        <f t="shared" si="16"/>
        <v>0</v>
      </c>
      <c r="BF62" s="61">
        <f t="shared" si="16"/>
        <v>0</v>
      </c>
      <c r="BG62" s="61">
        <f t="shared" si="16"/>
        <v>0</v>
      </c>
      <c r="BH62" s="61">
        <f t="shared" si="16"/>
        <v>0</v>
      </c>
    </row>
    <row r="63" spans="2:60" ht="12.75" hidden="1">
      <c r="B63" s="97" t="s">
        <v>92</v>
      </c>
      <c r="C63" s="61">
        <f aca="true" t="shared" si="17" ref="C63:AH63">SUM(C33,C37,C38)</f>
        <v>3408421.6</v>
      </c>
      <c r="D63" s="61">
        <f t="shared" si="17"/>
        <v>40000</v>
      </c>
      <c r="E63" s="61">
        <f t="shared" si="17"/>
        <v>159</v>
      </c>
      <c r="F63" s="61">
        <f t="shared" si="17"/>
        <v>36242</v>
      </c>
      <c r="G63" s="61">
        <f t="shared" si="17"/>
        <v>426379.23</v>
      </c>
      <c r="H63" s="61">
        <f t="shared" si="17"/>
        <v>185989.65</v>
      </c>
      <c r="I63" s="61">
        <f t="shared" si="17"/>
        <v>123415.84</v>
      </c>
      <c r="J63" s="61">
        <f t="shared" si="17"/>
        <v>145737.22</v>
      </c>
      <c r="K63" s="61">
        <f t="shared" si="17"/>
        <v>792325.6499999999</v>
      </c>
      <c r="L63" s="61">
        <f t="shared" si="17"/>
        <v>23144.13</v>
      </c>
      <c r="M63" s="61">
        <f t="shared" si="17"/>
        <v>286951.1</v>
      </c>
      <c r="N63" s="61">
        <f t="shared" si="17"/>
        <v>134317.07</v>
      </c>
      <c r="O63" s="61">
        <f t="shared" si="17"/>
        <v>265827.06</v>
      </c>
      <c r="P63" s="61">
        <f t="shared" si="17"/>
        <v>13657</v>
      </c>
      <c r="Q63" s="61">
        <f t="shared" si="17"/>
        <v>69941</v>
      </c>
      <c r="R63" s="61">
        <f t="shared" si="17"/>
        <v>0</v>
      </c>
      <c r="S63" s="61">
        <f t="shared" si="17"/>
        <v>0</v>
      </c>
      <c r="T63" s="61">
        <f t="shared" si="17"/>
        <v>12375</v>
      </c>
      <c r="U63" s="61">
        <f t="shared" si="17"/>
        <v>131518.15</v>
      </c>
      <c r="V63" s="61">
        <f t="shared" si="17"/>
        <v>0</v>
      </c>
      <c r="W63" s="61">
        <f t="shared" si="17"/>
        <v>0</v>
      </c>
      <c r="X63" s="61">
        <f t="shared" si="17"/>
        <v>120516</v>
      </c>
      <c r="Y63" s="61">
        <f t="shared" si="17"/>
        <v>0</v>
      </c>
      <c r="Z63" s="61">
        <f t="shared" si="17"/>
        <v>0</v>
      </c>
      <c r="AA63" s="61">
        <f t="shared" si="17"/>
        <v>0</v>
      </c>
      <c r="AB63" s="61">
        <f t="shared" si="17"/>
        <v>0</v>
      </c>
      <c r="AC63" s="61">
        <f t="shared" si="17"/>
        <v>0</v>
      </c>
      <c r="AD63" s="61">
        <f t="shared" si="17"/>
        <v>0</v>
      </c>
      <c r="AE63" s="61">
        <f t="shared" si="17"/>
        <v>0</v>
      </c>
      <c r="AF63" s="61">
        <f t="shared" si="17"/>
        <v>0</v>
      </c>
      <c r="AG63" s="61">
        <f t="shared" si="17"/>
        <v>0</v>
      </c>
      <c r="AH63" s="61">
        <f t="shared" si="17"/>
        <v>0</v>
      </c>
      <c r="AI63" s="61">
        <f aca="true" t="shared" si="18" ref="AI63:BH63">SUM(AI33,AI37,AI38)</f>
        <v>0</v>
      </c>
      <c r="AJ63" s="61">
        <f t="shared" si="18"/>
        <v>0</v>
      </c>
      <c r="AK63" s="61">
        <f t="shared" si="18"/>
        <v>0</v>
      </c>
      <c r="AL63" s="61">
        <f t="shared" si="18"/>
        <v>0</v>
      </c>
      <c r="AM63" s="61">
        <f t="shared" si="18"/>
        <v>0</v>
      </c>
      <c r="AN63" s="61">
        <f t="shared" si="18"/>
        <v>0</v>
      </c>
      <c r="AO63" s="61">
        <f t="shared" si="18"/>
        <v>599926.5</v>
      </c>
      <c r="AP63" s="61">
        <f t="shared" si="18"/>
        <v>0</v>
      </c>
      <c r="AQ63" s="61">
        <f t="shared" si="18"/>
        <v>0</v>
      </c>
      <c r="AR63" s="61">
        <f t="shared" si="18"/>
        <v>0</v>
      </c>
      <c r="AS63" s="61">
        <f t="shared" si="18"/>
        <v>0</v>
      </c>
      <c r="AT63" s="61">
        <f t="shared" si="18"/>
        <v>0</v>
      </c>
      <c r="AU63" s="61">
        <f t="shared" si="18"/>
        <v>0</v>
      </c>
      <c r="AV63" s="61">
        <f t="shared" si="18"/>
        <v>0</v>
      </c>
      <c r="AW63" s="61">
        <f t="shared" si="18"/>
        <v>0</v>
      </c>
      <c r="AX63" s="61">
        <f t="shared" si="18"/>
        <v>0</v>
      </c>
      <c r="AY63" s="61">
        <f t="shared" si="18"/>
        <v>0</v>
      </c>
      <c r="AZ63" s="61">
        <f t="shared" si="18"/>
        <v>0</v>
      </c>
      <c r="BA63" s="61">
        <f t="shared" si="18"/>
        <v>0</v>
      </c>
      <c r="BB63" s="61">
        <f t="shared" si="18"/>
        <v>0</v>
      </c>
      <c r="BC63" s="61">
        <f t="shared" si="18"/>
        <v>0</v>
      </c>
      <c r="BD63" s="61">
        <f t="shared" si="18"/>
        <v>0</v>
      </c>
      <c r="BE63" s="61">
        <f t="shared" si="18"/>
        <v>0</v>
      </c>
      <c r="BF63" s="61">
        <f t="shared" si="18"/>
        <v>0</v>
      </c>
      <c r="BG63" s="61">
        <f t="shared" si="18"/>
        <v>0</v>
      </c>
      <c r="BH63" s="61">
        <f t="shared" si="18"/>
        <v>0</v>
      </c>
    </row>
    <row r="64" ht="12.75" hidden="1">
      <c r="C64" s="61"/>
    </row>
    <row r="65" ht="12.75" hidden="1"/>
    <row r="66" spans="2:60" s="61" customFormat="1" ht="12.75" hidden="1">
      <c r="B66" s="97" t="s">
        <v>94</v>
      </c>
      <c r="C66" s="61">
        <f aca="true" t="shared" si="19" ref="C66:AH66">SUM(C14-C31)</f>
        <v>-7261804.32</v>
      </c>
      <c r="D66" s="61">
        <f t="shared" si="19"/>
        <v>-40000</v>
      </c>
      <c r="E66" s="61">
        <f t="shared" si="19"/>
        <v>-159</v>
      </c>
      <c r="F66" s="61">
        <f t="shared" si="19"/>
        <v>-36242</v>
      </c>
      <c r="G66" s="61">
        <f t="shared" si="19"/>
        <v>-426379.23</v>
      </c>
      <c r="H66" s="61">
        <f t="shared" si="19"/>
        <v>-185989.65</v>
      </c>
      <c r="I66" s="61">
        <f t="shared" si="19"/>
        <v>-1531276.3900000001</v>
      </c>
      <c r="J66" s="61">
        <f t="shared" si="19"/>
        <v>-145737.22</v>
      </c>
      <c r="K66" s="61">
        <f t="shared" si="19"/>
        <v>-792325.6499999999</v>
      </c>
      <c r="L66" s="61">
        <f t="shared" si="19"/>
        <v>-23144.13</v>
      </c>
      <c r="M66" s="61">
        <f t="shared" si="19"/>
        <v>-1397311.33</v>
      </c>
      <c r="N66" s="61">
        <f t="shared" si="19"/>
        <v>-907040.4299999999</v>
      </c>
      <c r="O66" s="61">
        <f t="shared" si="19"/>
        <v>-265827.06</v>
      </c>
      <c r="P66" s="61">
        <f t="shared" si="19"/>
        <v>-13657</v>
      </c>
      <c r="Q66" s="61">
        <f t="shared" si="19"/>
        <v>-69941</v>
      </c>
      <c r="R66" s="61">
        <f t="shared" si="19"/>
        <v>-64762.33</v>
      </c>
      <c r="S66" s="61">
        <f t="shared" si="19"/>
        <v>0</v>
      </c>
      <c r="T66" s="61">
        <f t="shared" si="19"/>
        <v>-197672.53</v>
      </c>
      <c r="U66" s="61">
        <f t="shared" si="19"/>
        <v>-131518.15</v>
      </c>
      <c r="V66" s="61">
        <f t="shared" si="19"/>
        <v>0</v>
      </c>
      <c r="W66" s="61">
        <f t="shared" si="19"/>
        <v>0</v>
      </c>
      <c r="X66" s="61">
        <f t="shared" si="19"/>
        <v>-120516</v>
      </c>
      <c r="Y66" s="61">
        <f t="shared" si="19"/>
        <v>-123250.32</v>
      </c>
      <c r="Z66" s="61">
        <f t="shared" si="19"/>
        <v>0</v>
      </c>
      <c r="AA66" s="61">
        <f t="shared" si="19"/>
        <v>-21311</v>
      </c>
      <c r="AB66" s="61">
        <f t="shared" si="19"/>
        <v>0</v>
      </c>
      <c r="AC66" s="61">
        <f t="shared" si="19"/>
        <v>0</v>
      </c>
      <c r="AD66" s="61">
        <f t="shared" si="19"/>
        <v>0</v>
      </c>
      <c r="AE66" s="61">
        <f t="shared" si="19"/>
        <v>0</v>
      </c>
      <c r="AF66" s="61">
        <f t="shared" si="19"/>
        <v>0</v>
      </c>
      <c r="AG66" s="61">
        <f t="shared" si="19"/>
        <v>0</v>
      </c>
      <c r="AH66" s="61">
        <f t="shared" si="19"/>
        <v>0</v>
      </c>
      <c r="AI66" s="61">
        <f aca="true" t="shared" si="20" ref="AI66:BH66">SUM(AI14-AI31)</f>
        <v>0</v>
      </c>
      <c r="AJ66" s="61">
        <f t="shared" si="20"/>
        <v>0</v>
      </c>
      <c r="AK66" s="61">
        <f t="shared" si="20"/>
        <v>-52226</v>
      </c>
      <c r="AL66" s="61">
        <f t="shared" si="20"/>
        <v>-21701</v>
      </c>
      <c r="AM66" s="61">
        <f t="shared" si="20"/>
        <v>0</v>
      </c>
      <c r="AN66" s="61">
        <f t="shared" si="20"/>
        <v>0</v>
      </c>
      <c r="AO66" s="61">
        <f t="shared" si="20"/>
        <v>-599926.5</v>
      </c>
      <c r="AP66" s="61">
        <f t="shared" si="20"/>
        <v>0</v>
      </c>
      <c r="AQ66" s="61">
        <f t="shared" si="20"/>
        <v>0</v>
      </c>
      <c r="AR66" s="61">
        <f t="shared" si="20"/>
        <v>-7166</v>
      </c>
      <c r="AS66" s="61">
        <f t="shared" si="20"/>
        <v>-53563</v>
      </c>
      <c r="AT66" s="61">
        <f t="shared" si="20"/>
        <v>-24444.4</v>
      </c>
      <c r="AU66" s="61">
        <f t="shared" si="20"/>
        <v>0</v>
      </c>
      <c r="AV66" s="61">
        <f t="shared" si="20"/>
        <v>-10966</v>
      </c>
      <c r="AW66" s="61">
        <f t="shared" si="20"/>
        <v>0</v>
      </c>
      <c r="AX66" s="61">
        <f t="shared" si="20"/>
        <v>0</v>
      </c>
      <c r="AY66" s="61">
        <f t="shared" si="20"/>
        <v>0</v>
      </c>
      <c r="AZ66" s="61">
        <f t="shared" si="20"/>
        <v>0</v>
      </c>
      <c r="BA66" s="61">
        <f t="shared" si="20"/>
        <v>0</v>
      </c>
      <c r="BB66" s="61">
        <f t="shared" si="20"/>
        <v>-14559</v>
      </c>
      <c r="BC66" s="61">
        <f t="shared" si="20"/>
        <v>0</v>
      </c>
      <c r="BD66" s="61">
        <f t="shared" si="20"/>
        <v>0</v>
      </c>
      <c r="BE66" s="61">
        <f t="shared" si="20"/>
        <v>0</v>
      </c>
      <c r="BF66" s="61">
        <f t="shared" si="20"/>
        <v>0</v>
      </c>
      <c r="BG66" s="61">
        <f t="shared" si="20"/>
        <v>0</v>
      </c>
      <c r="BH66" s="61">
        <f t="shared" si="20"/>
        <v>16808</v>
      </c>
    </row>
    <row r="67" spans="2:60" s="61" customFormat="1" ht="12.75" hidden="1">
      <c r="B67" s="97" t="s">
        <v>95</v>
      </c>
      <c r="C67" s="61">
        <f aca="true" t="shared" si="21" ref="C67:AH67">SUM(C19-C40)</f>
        <v>-1025323.2499999944</v>
      </c>
      <c r="D67" s="61">
        <f t="shared" si="21"/>
        <v>-219403.5</v>
      </c>
      <c r="E67" s="61">
        <f t="shared" si="21"/>
        <v>-164692.43</v>
      </c>
      <c r="F67" s="61">
        <f t="shared" si="21"/>
        <v>694248.37</v>
      </c>
      <c r="G67" s="61">
        <f t="shared" si="21"/>
        <v>-27452.379999999997</v>
      </c>
      <c r="H67" s="61">
        <f t="shared" si="21"/>
        <v>-336440.43</v>
      </c>
      <c r="I67" s="61">
        <f t="shared" si="21"/>
        <v>-22931.040000000008</v>
      </c>
      <c r="J67" s="61">
        <f t="shared" si="21"/>
        <v>-52068.5</v>
      </c>
      <c r="K67" s="61">
        <f t="shared" si="21"/>
        <v>552556.5</v>
      </c>
      <c r="L67" s="61">
        <f t="shared" si="21"/>
        <v>-162229.36</v>
      </c>
      <c r="M67" s="61">
        <f t="shared" si="21"/>
        <v>-66268.26</v>
      </c>
      <c r="N67" s="61">
        <f t="shared" si="21"/>
        <v>-24603.749999997617</v>
      </c>
      <c r="O67" s="61">
        <f t="shared" si="21"/>
        <v>-113658.97999999998</v>
      </c>
      <c r="P67" s="61">
        <f t="shared" si="21"/>
        <v>-183875.71</v>
      </c>
      <c r="Q67" s="61">
        <f t="shared" si="21"/>
        <v>-147723.65</v>
      </c>
      <c r="R67" s="61">
        <f t="shared" si="21"/>
        <v>-131930.09999999776</v>
      </c>
      <c r="S67" s="61">
        <f t="shared" si="21"/>
        <v>161.75</v>
      </c>
      <c r="T67" s="61">
        <f t="shared" si="21"/>
        <v>5920</v>
      </c>
      <c r="U67" s="61">
        <f t="shared" si="21"/>
        <v>-38704.25</v>
      </c>
      <c r="V67" s="61">
        <f t="shared" si="21"/>
        <v>-107627.27000000002</v>
      </c>
      <c r="W67" s="61">
        <f t="shared" si="21"/>
        <v>-11116.25</v>
      </c>
      <c r="X67" s="61">
        <f t="shared" si="21"/>
        <v>-41300.5</v>
      </c>
      <c r="Y67" s="61">
        <f t="shared" si="21"/>
        <v>-16135</v>
      </c>
      <c r="Z67" s="61">
        <f t="shared" si="21"/>
        <v>-108.25</v>
      </c>
      <c r="AA67" s="61">
        <f t="shared" si="21"/>
        <v>0</v>
      </c>
      <c r="AB67" s="61">
        <f t="shared" si="21"/>
        <v>0</v>
      </c>
      <c r="AC67" s="61">
        <f t="shared" si="21"/>
        <v>-158736.3</v>
      </c>
      <c r="AD67" s="61">
        <f t="shared" si="21"/>
        <v>-40</v>
      </c>
      <c r="AE67" s="61">
        <f t="shared" si="21"/>
        <v>-35791.75</v>
      </c>
      <c r="AF67" s="61">
        <f t="shared" si="21"/>
        <v>0</v>
      </c>
      <c r="AG67" s="61">
        <f t="shared" si="21"/>
        <v>4511</v>
      </c>
      <c r="AH67" s="61">
        <f t="shared" si="21"/>
        <v>-556.25</v>
      </c>
      <c r="AI67" s="61">
        <f aca="true" t="shared" si="22" ref="AI67:BH67">SUM(AI19-AI40)</f>
        <v>-626</v>
      </c>
      <c r="AJ67" s="61">
        <f t="shared" si="22"/>
        <v>2506.050000000745</v>
      </c>
      <c r="AK67" s="61">
        <f t="shared" si="22"/>
        <v>-17910</v>
      </c>
      <c r="AL67" s="61">
        <f t="shared" si="22"/>
        <v>0</v>
      </c>
      <c r="AM67" s="61">
        <f t="shared" si="22"/>
        <v>-612.5</v>
      </c>
      <c r="AN67" s="61">
        <f t="shared" si="22"/>
        <v>-450</v>
      </c>
      <c r="AO67" s="61">
        <f t="shared" si="22"/>
        <v>-217107.4999999999</v>
      </c>
      <c r="AP67" s="61">
        <f t="shared" si="22"/>
        <v>-4040.5800000000017</v>
      </c>
      <c r="AQ67" s="61">
        <f t="shared" si="22"/>
        <v>0</v>
      </c>
      <c r="AR67" s="61">
        <f t="shared" si="22"/>
        <v>-3576</v>
      </c>
      <c r="AS67" s="61">
        <f t="shared" si="22"/>
        <v>-608.25</v>
      </c>
      <c r="AT67" s="61">
        <f t="shared" si="22"/>
        <v>-20000</v>
      </c>
      <c r="AU67" s="61">
        <f t="shared" si="22"/>
        <v>-17960</v>
      </c>
      <c r="AV67" s="61">
        <f t="shared" si="22"/>
        <v>-510.75</v>
      </c>
      <c r="AW67" s="61">
        <f t="shared" si="22"/>
        <v>-95995.8600000001</v>
      </c>
      <c r="AX67" s="61">
        <f t="shared" si="22"/>
        <v>0</v>
      </c>
      <c r="AY67" s="61">
        <f t="shared" si="22"/>
        <v>-17768.57</v>
      </c>
      <c r="AZ67" s="61">
        <f t="shared" si="22"/>
        <v>-38461.75</v>
      </c>
      <c r="BA67" s="61">
        <f t="shared" si="22"/>
        <v>-17799.5</v>
      </c>
      <c r="BB67" s="61">
        <f t="shared" si="22"/>
        <v>-33150</v>
      </c>
      <c r="BC67" s="61">
        <f t="shared" si="22"/>
        <v>-46944.44</v>
      </c>
      <c r="BD67" s="61">
        <f t="shared" si="22"/>
        <v>-1466.75</v>
      </c>
      <c r="BE67" s="61">
        <f t="shared" si="22"/>
        <v>-612.5</v>
      </c>
      <c r="BF67" s="61">
        <f t="shared" si="22"/>
        <v>-43058.5</v>
      </c>
      <c r="BG67" s="61">
        <f t="shared" si="22"/>
        <v>357094.2</v>
      </c>
      <c r="BH67" s="61">
        <f t="shared" si="22"/>
        <v>-267.7600000000093</v>
      </c>
    </row>
    <row r="68" ht="12.75" hidden="1"/>
    <row r="69" ht="12.75" hidden="1"/>
    <row r="70" spans="2:60" s="61" customFormat="1" ht="12.75" hidden="1">
      <c r="B70" s="97"/>
      <c r="C70" s="61">
        <f>SUM(C66:C67)</f>
        <v>-8287127.569999995</v>
      </c>
      <c r="D70" s="61">
        <f aca="true" t="shared" si="23" ref="D70:BH70">SUM(D66:D67)</f>
        <v>-259403.5</v>
      </c>
      <c r="E70" s="61">
        <f t="shared" si="23"/>
        <v>-164851.43</v>
      </c>
      <c r="F70" s="61">
        <f t="shared" si="23"/>
        <v>658006.37</v>
      </c>
      <c r="G70" s="61">
        <f t="shared" si="23"/>
        <v>-453831.61</v>
      </c>
      <c r="H70" s="61">
        <f t="shared" si="23"/>
        <v>-522430.07999999996</v>
      </c>
      <c r="I70" s="61">
        <f t="shared" si="23"/>
        <v>-1554207.4300000002</v>
      </c>
      <c r="J70" s="61">
        <f t="shared" si="23"/>
        <v>-197805.72</v>
      </c>
      <c r="K70" s="61">
        <f t="shared" si="23"/>
        <v>-239769.1499999999</v>
      </c>
      <c r="L70" s="61">
        <f t="shared" si="23"/>
        <v>-185373.49</v>
      </c>
      <c r="M70" s="61">
        <f t="shared" si="23"/>
        <v>-1463579.59</v>
      </c>
      <c r="N70" s="61">
        <f t="shared" si="23"/>
        <v>-931644.1799999976</v>
      </c>
      <c r="O70" s="61">
        <f t="shared" si="23"/>
        <v>-379486.04</v>
      </c>
      <c r="P70" s="61">
        <f t="shared" si="23"/>
        <v>-197532.71</v>
      </c>
      <c r="Q70" s="61">
        <f t="shared" si="23"/>
        <v>-217664.65</v>
      </c>
      <c r="R70" s="61">
        <f t="shared" si="23"/>
        <v>-196692.42999999778</v>
      </c>
      <c r="S70" s="61">
        <f t="shared" si="23"/>
        <v>161.75</v>
      </c>
      <c r="T70" s="61">
        <f t="shared" si="23"/>
        <v>-191752.53</v>
      </c>
      <c r="U70" s="61">
        <f t="shared" si="23"/>
        <v>-170222.4</v>
      </c>
      <c r="V70" s="61">
        <f t="shared" si="23"/>
        <v>-107627.27000000002</v>
      </c>
      <c r="W70" s="61">
        <f t="shared" si="23"/>
        <v>-11116.25</v>
      </c>
      <c r="X70" s="61">
        <f t="shared" si="23"/>
        <v>-161816.5</v>
      </c>
      <c r="Y70" s="61">
        <f t="shared" si="23"/>
        <v>-139385.32</v>
      </c>
      <c r="Z70" s="61">
        <f t="shared" si="23"/>
        <v>-108.25</v>
      </c>
      <c r="AA70" s="61">
        <f t="shared" si="23"/>
        <v>-21311</v>
      </c>
      <c r="AB70" s="61">
        <f t="shared" si="23"/>
        <v>0</v>
      </c>
      <c r="AC70" s="61">
        <f t="shared" si="23"/>
        <v>-158736.3</v>
      </c>
      <c r="AD70" s="61">
        <f t="shared" si="23"/>
        <v>-40</v>
      </c>
      <c r="AE70" s="61">
        <f t="shared" si="23"/>
        <v>-35791.75</v>
      </c>
      <c r="AF70" s="61">
        <f t="shared" si="23"/>
        <v>0</v>
      </c>
      <c r="AG70" s="61">
        <f t="shared" si="23"/>
        <v>4511</v>
      </c>
      <c r="AH70" s="61">
        <f t="shared" si="23"/>
        <v>-556.25</v>
      </c>
      <c r="AI70" s="61">
        <f t="shared" si="23"/>
        <v>-626</v>
      </c>
      <c r="AJ70" s="61">
        <f t="shared" si="23"/>
        <v>2506.050000000745</v>
      </c>
      <c r="AK70" s="61">
        <f t="shared" si="23"/>
        <v>-70136</v>
      </c>
      <c r="AL70" s="61">
        <f t="shared" si="23"/>
        <v>-21701</v>
      </c>
      <c r="AM70" s="61">
        <f t="shared" si="23"/>
        <v>-612.5</v>
      </c>
      <c r="AN70" s="61">
        <f t="shared" si="23"/>
        <v>-450</v>
      </c>
      <c r="AO70" s="61">
        <f t="shared" si="23"/>
        <v>-817033.9999999999</v>
      </c>
      <c r="AP70" s="61">
        <f t="shared" si="23"/>
        <v>-4040.5800000000017</v>
      </c>
      <c r="AQ70" s="61">
        <f t="shared" si="23"/>
        <v>0</v>
      </c>
      <c r="AR70" s="61">
        <f t="shared" si="23"/>
        <v>-10742</v>
      </c>
      <c r="AS70" s="61">
        <f t="shared" si="23"/>
        <v>-54171.25</v>
      </c>
      <c r="AT70" s="61">
        <f t="shared" si="23"/>
        <v>-44444.4</v>
      </c>
      <c r="AU70" s="61">
        <f t="shared" si="23"/>
        <v>-17960</v>
      </c>
      <c r="AV70" s="61">
        <f t="shared" si="23"/>
        <v>-11476.75</v>
      </c>
      <c r="AW70" s="61">
        <f t="shared" si="23"/>
        <v>-95995.8600000001</v>
      </c>
      <c r="AX70" s="61">
        <f t="shared" si="23"/>
        <v>0</v>
      </c>
      <c r="AY70" s="61">
        <f t="shared" si="23"/>
        <v>-17768.57</v>
      </c>
      <c r="AZ70" s="61">
        <f t="shared" si="23"/>
        <v>-38461.75</v>
      </c>
      <c r="BA70" s="61">
        <f t="shared" si="23"/>
        <v>-17799.5</v>
      </c>
      <c r="BB70" s="61">
        <f t="shared" si="23"/>
        <v>-47709</v>
      </c>
      <c r="BC70" s="61">
        <f t="shared" si="23"/>
        <v>-46944.44</v>
      </c>
      <c r="BD70" s="61">
        <f t="shared" si="23"/>
        <v>-1466.75</v>
      </c>
      <c r="BE70" s="61">
        <f t="shared" si="23"/>
        <v>-612.5</v>
      </c>
      <c r="BF70" s="61">
        <f t="shared" si="23"/>
        <v>-43058.5</v>
      </c>
      <c r="BG70" s="61">
        <f t="shared" si="23"/>
        <v>357094.2</v>
      </c>
      <c r="BH70" s="61">
        <f t="shared" si="23"/>
        <v>16540.23999999999</v>
      </c>
    </row>
    <row r="71" ht="12.75" hidden="1"/>
    <row r="72" ht="12.75" hidden="1">
      <c r="AV72" s="61"/>
    </row>
    <row r="73" spans="35:59" ht="12.75">
      <c r="AI73" s="61"/>
      <c r="AO73" s="61"/>
      <c r="AV73" s="61"/>
      <c r="AY73" s="61"/>
      <c r="BG73" s="61"/>
    </row>
    <row r="74" spans="35:59" ht="12.75">
      <c r="AI74" s="61"/>
      <c r="AO74" s="61"/>
      <c r="AS74" s="61"/>
      <c r="AV74" s="61"/>
      <c r="AY74" s="61"/>
      <c r="BG74" s="61"/>
    </row>
    <row r="75" spans="22:59" ht="12.75">
      <c r="V75" s="61"/>
      <c r="Z75" s="61"/>
      <c r="AB75" s="61"/>
      <c r="AC75" s="61"/>
      <c r="AI75" s="61"/>
      <c r="AO75" s="61"/>
      <c r="AV75" s="61"/>
      <c r="AY75" s="61"/>
      <c r="BG75" s="61"/>
    </row>
    <row r="76" spans="15:48" ht="12.75">
      <c r="O76" s="61"/>
      <c r="V76" s="61"/>
      <c r="X76" s="61"/>
      <c r="Z76" s="61"/>
      <c r="AI76" s="61"/>
      <c r="AN76" s="61"/>
      <c r="AO76" s="61"/>
      <c r="AV76" s="61"/>
    </row>
    <row r="77" ht="12.75">
      <c r="AI77" s="61"/>
    </row>
    <row r="78" ht="12.75">
      <c r="AI78" s="61"/>
    </row>
    <row r="80" ht="12.75">
      <c r="L80" s="61"/>
    </row>
  </sheetData>
  <sheetProtection/>
  <printOptions horizontalCentered="1"/>
  <pageMargins left="0.1968503937007874" right="0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2017-02-28T07:41:42Z</cp:lastPrinted>
  <dcterms:created xsi:type="dcterms:W3CDTF">2006-01-13T12:10:48Z</dcterms:created>
  <dcterms:modified xsi:type="dcterms:W3CDTF">2017-06-15T17:56:48Z</dcterms:modified>
  <cp:category/>
  <cp:version/>
  <cp:contentType/>
  <cp:contentStatus/>
</cp:coreProperties>
</file>